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8145" tabRatio="769" activeTab="3"/>
  </bookViews>
  <sheets>
    <sheet name="St of Net Assets - GA" sheetId="1" r:id="rId1"/>
    <sheet name="St of Activities - GA Rev" sheetId="2" r:id="rId2"/>
    <sheet name="St of Activities - GA Exp" sheetId="3" r:id="rId3"/>
    <sheet name="Gen Fd BS" sheetId="4" r:id="rId4"/>
    <sheet name="Gov Fd BS" sheetId="5" r:id="rId5"/>
    <sheet name="GenRev" sheetId="6" r:id="rId6"/>
    <sheet name="GenExp" sheetId="7" r:id="rId7"/>
    <sheet name="Gov Fd Rv" sheetId="8" r:id="rId8"/>
    <sheet name="Gov Fnd Exp" sheetId="9" r:id="rId9"/>
    <sheet name="Water 1" sheetId="10" r:id="rId10"/>
    <sheet name="Sewer 1" sheetId="11" r:id="rId11"/>
    <sheet name="Landfill" sheetId="12" r:id="rId12"/>
    <sheet name="LT _Lia - GA" sheetId="13" r:id="rId13"/>
  </sheets>
  <externalReferences>
    <externalReference r:id="rId16"/>
  </externalReferences>
  <definedNames>
    <definedName name="_xlnm.Print_Area" localSheetId="3">'Gen Fd BS'!$A$9:$U$100</definedName>
    <definedName name="_xlnm.Print_Area" localSheetId="6">'GenExp'!$A$11:$AC$100</definedName>
    <definedName name="_xlnm.Print_Area" localSheetId="5">'GenRev'!$A$11:$Q$101</definedName>
    <definedName name="_xlnm.Print_Area" localSheetId="4">'Gov Fd BS'!$A$1:$Z$98</definedName>
    <definedName name="_xlnm.Print_Area" localSheetId="7">'Gov Fd Rv'!$A$11:$Q$101</definedName>
    <definedName name="_xlnm.Print_Area" localSheetId="8">'Gov Fnd Exp'!$A$1:$AC$99</definedName>
    <definedName name="_xlnm.Print_Area" localSheetId="11">'Landfill'!$A$1:$BG$98</definedName>
    <definedName name="_xlnm.Print_Area" localSheetId="12">'LT _Lia - GA'!$A$11:$Q$100</definedName>
    <definedName name="_xlnm.Print_Area" localSheetId="10">'Sewer 1'!$A$1:$BK$96</definedName>
    <definedName name="_xlnm.Print_Area" localSheetId="2">'St of Activities - GA Exp'!$A$1:$Y$98</definedName>
    <definedName name="_xlnm.Print_Area" localSheetId="1">'St of Activities - GA Rev'!$A$1:$Y$99</definedName>
    <definedName name="_xlnm.Print_Area" localSheetId="0">'St of Net Assets - GA'!$A$1:$W$98</definedName>
    <definedName name="_xlnm.Print_Area" localSheetId="9">'Water 1'!$A$1:$BJ$98</definedName>
    <definedName name="_xlnm.Print_Titles" localSheetId="3">'Gen Fd BS'!$1:$9</definedName>
    <definedName name="_xlnm.Print_Titles" localSheetId="6">'GenExp'!$1:$9</definedName>
    <definedName name="_xlnm.Print_Titles" localSheetId="5">'GenRev'!$1:$9</definedName>
    <definedName name="_xlnm.Print_Titles" localSheetId="4">'Gov Fd BS'!$1:$10</definedName>
    <definedName name="_xlnm.Print_Titles" localSheetId="7">'Gov Fd Rv'!$1:$9</definedName>
    <definedName name="_xlnm.Print_Titles" localSheetId="8">'Gov Fnd Exp'!$1:$9</definedName>
    <definedName name="_xlnm.Print_Titles" localSheetId="12">'LT _Lia - GA'!$1:$9</definedName>
    <definedName name="_xlnm.Print_Titles" localSheetId="10">'Sewer 1'!$1:$9</definedName>
    <definedName name="_xlnm.Print_Titles" localSheetId="2">'St of Activities - GA Exp'!$1:$9</definedName>
    <definedName name="_xlnm.Print_Titles" localSheetId="1">'St of Activities - GA Rev'!$1:$9</definedName>
    <definedName name="_xlnm.Print_Titles" localSheetId="0">'St of Net Assets - GA'!$1:$9</definedName>
    <definedName name="_xlnm.Print_Titles" localSheetId="9">'Water 1'!$1:$9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<sst xmlns="http://schemas.openxmlformats.org/spreadsheetml/2006/main" count="2210" uniqueCount="260">
  <si>
    <t>Charges for</t>
  </si>
  <si>
    <t>Inter-</t>
  </si>
  <si>
    <t>Special</t>
  </si>
  <si>
    <t>All Other</t>
  </si>
  <si>
    <t>Total</t>
  </si>
  <si>
    <t>County</t>
  </si>
  <si>
    <t>Taxes</t>
  </si>
  <si>
    <t>Tax</t>
  </si>
  <si>
    <t>Services</t>
  </si>
  <si>
    <t>governmental</t>
  </si>
  <si>
    <t>Assessments</t>
  </si>
  <si>
    <t>Revenue</t>
  </si>
  <si>
    <t>Revenues</t>
  </si>
  <si>
    <t>Allen</t>
  </si>
  <si>
    <t>Ashland</t>
  </si>
  <si>
    <t>Ashtabula</t>
  </si>
  <si>
    <t>Athens</t>
  </si>
  <si>
    <t>Auglaize</t>
  </si>
  <si>
    <t>Belmont</t>
  </si>
  <si>
    <t>Bulter</t>
  </si>
  <si>
    <t>Carroll</t>
  </si>
  <si>
    <t>Clark</t>
  </si>
  <si>
    <t>Clinton</t>
  </si>
  <si>
    <t>Columbiana (cash)</t>
  </si>
  <si>
    <t>Coshocton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</si>
  <si>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</si>
  <si>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</si>
  <si>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</si>
  <si>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</si>
  <si>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</si>
  <si>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</si>
  <si>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</si>
  <si>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</si>
  <si>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</si>
  <si>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</si>
  <si>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</si>
  <si>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Guernsey</t>
  </si>
  <si>
    <t>Hamilton</t>
  </si>
  <si>
    <t>Hancock</t>
  </si>
  <si>
    <t>Harrison (cash)</t>
  </si>
  <si>
    <t>Henry</t>
  </si>
  <si>
    <t>Highland (cash)</t>
  </si>
  <si>
    <t>Hocking</t>
  </si>
  <si>
    <t>Holmes</t>
  </si>
  <si>
    <t>Huron</t>
  </si>
  <si>
    <t>Jackson</t>
  </si>
  <si>
    <t>Jefferson</t>
  </si>
  <si>
    <t>Knox</t>
  </si>
  <si>
    <t>Lake</t>
  </si>
  <si>
    <t>Licking</t>
  </si>
  <si>
    <t>Logan</t>
  </si>
  <si>
    <t>Lorain</t>
  </si>
  <si>
    <t>Madison (cash)</t>
  </si>
  <si>
    <t>Mahoning</t>
  </si>
  <si>
    <t>Marion</t>
  </si>
  <si>
    <t>Medina</t>
  </si>
  <si>
    <t>Mercer (cash)</t>
  </si>
  <si>
    <t>Miami</t>
  </si>
  <si>
    <t>Monroe</t>
  </si>
  <si>
    <t>Montgomery</t>
  </si>
  <si>
    <t>Morgan (cash)</t>
  </si>
  <si>
    <t>Muskingum</t>
  </si>
  <si>
    <t>Noble</t>
  </si>
  <si>
    <t>Ottawa</t>
  </si>
  <si>
    <t>Perry (cash)</t>
  </si>
  <si>
    <t>Pickaway</t>
  </si>
  <si>
    <t>Pike</t>
  </si>
  <si>
    <t>Portage</t>
  </si>
  <si>
    <t>Preble</t>
  </si>
  <si>
    <t>Ross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</si>
  <si>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</si>
  <si>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</si>
  <si>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</si>
  <si>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</si>
  <si>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</si>
  <si>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</si>
  <si>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</si>
  <si>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</si>
  <si>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</si>
  <si>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</si>
  <si>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</si>
  <si>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</si>
  <si>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</si>
  <si>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Wood</t>
  </si>
  <si>
    <t>Public</t>
  </si>
  <si>
    <t>Human</t>
  </si>
  <si>
    <t>Conservation</t>
  </si>
  <si>
    <t>Capital</t>
  </si>
  <si>
    <t>Judicial</t>
  </si>
  <si>
    <t>Safety</t>
  </si>
  <si>
    <t>Works</t>
  </si>
  <si>
    <t>Health</t>
  </si>
  <si>
    <t>Expenditures</t>
  </si>
  <si>
    <t>Outlay</t>
  </si>
  <si>
    <t>Principal</t>
  </si>
  <si>
    <t>Fiscal Charges</t>
  </si>
  <si>
    <t>Brown</t>
  </si>
  <si>
    <t>Morrow</t>
  </si>
  <si>
    <t>Sandusky</t>
  </si>
  <si>
    <t>Other Current</t>
  </si>
  <si>
    <t>Interest and</t>
  </si>
  <si>
    <t>Operating</t>
  </si>
  <si>
    <t>Long-Term Obligations</t>
  </si>
  <si>
    <t>General</t>
  </si>
  <si>
    <t>Mortgage and</t>
  </si>
  <si>
    <t>Other</t>
  </si>
  <si>
    <t>Net Working</t>
  </si>
  <si>
    <t>Obligation</t>
  </si>
  <si>
    <t>Long-Term</t>
  </si>
  <si>
    <t>Depreciation</t>
  </si>
  <si>
    <t>Income/Loss</t>
  </si>
  <si>
    <t>Transfers-In</t>
  </si>
  <si>
    <t>Transfers-Out</t>
  </si>
  <si>
    <t>Bonds</t>
  </si>
  <si>
    <t>Loans</t>
  </si>
  <si>
    <t>Obligations</t>
  </si>
  <si>
    <t>Assets</t>
  </si>
  <si>
    <t>Cash and</t>
  </si>
  <si>
    <t>Deferred</t>
  </si>
  <si>
    <t>Fund</t>
  </si>
  <si>
    <t>Investments</t>
  </si>
  <si>
    <t>Liabilities</t>
  </si>
  <si>
    <t>Balance</t>
  </si>
  <si>
    <t>All</t>
  </si>
  <si>
    <t>Compensated</t>
  </si>
  <si>
    <t>Notes</t>
  </si>
  <si>
    <t>Assessment</t>
  </si>
  <si>
    <t>Leases</t>
  </si>
  <si>
    <t>Absences</t>
  </si>
  <si>
    <t>Payables</t>
  </si>
  <si>
    <t>Payable</t>
  </si>
  <si>
    <t>Paulding (cash)</t>
  </si>
  <si>
    <t>Richland (GASB 34)</t>
  </si>
  <si>
    <t>Lucas (GASB 34)</t>
  </si>
  <si>
    <t>Current</t>
  </si>
  <si>
    <t>Wayne (GASB 34)</t>
  </si>
  <si>
    <t>Statement of Net Assets</t>
  </si>
  <si>
    <t>Net Assets</t>
  </si>
  <si>
    <t>Invested in</t>
  </si>
  <si>
    <t>Charges</t>
  </si>
  <si>
    <t>Cap Assets</t>
  </si>
  <si>
    <t>Restricted</t>
  </si>
  <si>
    <t>Unrestricted</t>
  </si>
  <si>
    <t>Program Revenues - Governmental Activities</t>
  </si>
  <si>
    <t>General Revenues</t>
  </si>
  <si>
    <t>Expenses - Governmental Activities</t>
  </si>
  <si>
    <t>Op. Grants</t>
  </si>
  <si>
    <t>Property</t>
  </si>
  <si>
    <t>Investment</t>
  </si>
  <si>
    <t>Changes in</t>
  </si>
  <si>
    <t>Contrib &amp; Int</t>
  </si>
  <si>
    <t>Grants</t>
  </si>
  <si>
    <t>Earnings</t>
  </si>
  <si>
    <t>Transfers</t>
  </si>
  <si>
    <t>Property,</t>
  </si>
  <si>
    <t>Non-Current</t>
  </si>
  <si>
    <t>Expenses Less</t>
  </si>
  <si>
    <t>Non-Operating</t>
  </si>
  <si>
    <t>Plant, &amp; Equip</t>
  </si>
  <si>
    <t>Rev/(Exp)</t>
  </si>
  <si>
    <t>Contributions</t>
  </si>
  <si>
    <t>Additions</t>
  </si>
  <si>
    <t>(Deletions)</t>
  </si>
  <si>
    <t xml:space="preserve">Other </t>
  </si>
  <si>
    <t>Community</t>
  </si>
  <si>
    <t>Development</t>
  </si>
  <si>
    <t>Sales</t>
  </si>
  <si>
    <t>Hardin (cash)</t>
  </si>
  <si>
    <t>Hardin  (cash)</t>
  </si>
  <si>
    <t>Lawrence (cash)</t>
  </si>
  <si>
    <t>Meigs (cash)</t>
  </si>
  <si>
    <t>Champaign  (cash)</t>
  </si>
  <si>
    <t>Champaign (cash)</t>
  </si>
  <si>
    <t>Williams (cash)</t>
  </si>
  <si>
    <t>Wyandot (cash)</t>
  </si>
  <si>
    <t>Putnam (cash)</t>
  </si>
  <si>
    <t>General and</t>
  </si>
  <si>
    <t>Richland</t>
  </si>
  <si>
    <t>Crawford</t>
  </si>
  <si>
    <t>Columbiana</t>
  </si>
  <si>
    <t>Clermont</t>
  </si>
  <si>
    <t>Greene</t>
  </si>
  <si>
    <t>Lucas</t>
  </si>
  <si>
    <t>All Counties Reporting Under GAAP</t>
  </si>
  <si>
    <t>Legislative</t>
  </si>
  <si>
    <t>and Executive</t>
  </si>
  <si>
    <t xml:space="preserve">Pickaway </t>
  </si>
  <si>
    <t xml:space="preserve">Lucas </t>
  </si>
  <si>
    <t>and Recreation</t>
  </si>
  <si>
    <t>Net Income/</t>
  </si>
  <si>
    <t>Amounts Due</t>
  </si>
  <si>
    <t>within</t>
  </si>
  <si>
    <t>One Year</t>
  </si>
  <si>
    <t/>
  </si>
  <si>
    <t>Water Enterprise Fund</t>
  </si>
  <si>
    <t>Sewer Enterprise Fund</t>
  </si>
  <si>
    <t>Landfill Enterprise Fund</t>
  </si>
  <si>
    <t>Revenues from the Statement of Activities</t>
  </si>
  <si>
    <t>Summary Data from the General Fund Balance Sheet</t>
  </si>
  <si>
    <t>General Fund Revenues - Modified Accrual Basis of Accounting</t>
  </si>
  <si>
    <t>General Fund Expenditures - Modified Accrual Basis of Accounting</t>
  </si>
  <si>
    <t>Governmental Fund Expenditures - Modified Accrual Basis of Accounting</t>
  </si>
  <si>
    <t>Governmental Fund Revenues</t>
  </si>
  <si>
    <t>Due in More</t>
  </si>
  <si>
    <t>Than 1 Year</t>
  </si>
  <si>
    <t>balanced if =0</t>
  </si>
  <si>
    <t>other</t>
  </si>
  <si>
    <t>use</t>
  </si>
  <si>
    <t xml:space="preserve">Financing </t>
  </si>
  <si>
    <t>Sources</t>
  </si>
  <si>
    <t>financing</t>
  </si>
  <si>
    <t>Fund Bal</t>
  </si>
  <si>
    <t>Beginning</t>
  </si>
  <si>
    <t>of Year</t>
  </si>
  <si>
    <t>Inc/(Dec.)</t>
  </si>
  <si>
    <t>in reserves</t>
  </si>
  <si>
    <t>for inventory</t>
  </si>
  <si>
    <t>Balanced</t>
  </si>
  <si>
    <t>if =0</t>
  </si>
  <si>
    <t xml:space="preserve">Due Within </t>
  </si>
  <si>
    <t>1 Year</t>
  </si>
  <si>
    <t>if=0</t>
  </si>
  <si>
    <t xml:space="preserve">Lawrence </t>
  </si>
  <si>
    <t xml:space="preserve">Ottawa </t>
  </si>
  <si>
    <t xml:space="preserve">  </t>
  </si>
  <si>
    <t xml:space="preserve">Greene </t>
  </si>
  <si>
    <t xml:space="preserve"> </t>
  </si>
  <si>
    <t>Taxes (1)</t>
  </si>
  <si>
    <t>(1) May include sales and other taxes if not presented separately</t>
  </si>
  <si>
    <t>(Expenses)</t>
  </si>
  <si>
    <t>Change in</t>
  </si>
  <si>
    <t>Net</t>
  </si>
  <si>
    <t>Expenses from the Statement of Activities</t>
  </si>
  <si>
    <t>Summary Data from the Governmental Fund Balance Sheet</t>
  </si>
  <si>
    <t xml:space="preserve">Lawrence (cash) </t>
  </si>
  <si>
    <t>Adams (cash)</t>
  </si>
  <si>
    <t>Butler</t>
  </si>
  <si>
    <t>Fayette (cash)</t>
  </si>
  <si>
    <t>Brown (cash)</t>
  </si>
  <si>
    <t>Jackson (cash)</t>
  </si>
  <si>
    <t xml:space="preserve">Clermont </t>
  </si>
  <si>
    <t xml:space="preserve">Crawford </t>
  </si>
  <si>
    <t>Guernsey (cash)</t>
  </si>
  <si>
    <t>Hamilton (cash)</t>
  </si>
  <si>
    <t xml:space="preserve">Lorain </t>
  </si>
  <si>
    <t>Program Revenues</t>
  </si>
  <si>
    <t xml:space="preserve">Butler </t>
  </si>
  <si>
    <t>(Continued)</t>
  </si>
  <si>
    <t>Statement of Revenues, Expenses, and Changes in Net Assets</t>
  </si>
  <si>
    <t>General Long-Term Obligations</t>
  </si>
  <si>
    <t>Darke (cash)</t>
  </si>
  <si>
    <t>For the Year Ended December 31, 2011</t>
  </si>
  <si>
    <t>For the Year ended December 31, 2011</t>
  </si>
  <si>
    <t>Fund Balances</t>
  </si>
  <si>
    <t>Nonspendable</t>
  </si>
  <si>
    <t>Assigned</t>
  </si>
  <si>
    <t>Committed</t>
  </si>
  <si>
    <t>Unassigned</t>
  </si>
  <si>
    <t>Capital lease?</t>
  </si>
  <si>
    <t>As of December 31,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</si>
</sst>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  <numFmt numFmtId="170" formatCode="#,##0.0"/>
    <numFmt numFmtId="171" formatCode="0_);\(0\)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4" fillId="0" borderId="0" applyFill="0" applyAlignment="0" applyProtection="0"/>
    <xf numFmtId="1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 applyFont="0" applyFill="0" applyBorder="0" applyAlignment="0" applyProtection="0"/>
    <xf numFmtId="37" fontId="4" fillId="0" borderId="0" applyFill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7" fontId="4" fillId="0" borderId="8" xfId="0" applyNumberFormat="1" applyFont="1" applyBorder="1" applyAlignment="1">
      <alignment horizontal="centerContinuous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44" applyNumberFormat="1" applyFont="1" applyBorder="1" applyAlignment="1">
      <alignment horizontal="right"/>
    </xf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5" fontId="5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0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4" fillId="0" borderId="0" xfId="44" applyNumberFormat="1" applyFont="1" applyFill="1" applyBorder="1" applyAlignment="1">
      <alignment horizontal="right"/>
    </xf>
    <xf numFmtId="3" fontId="4" fillId="0" borderId="0" xfId="44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5" fontId="4" fillId="0" borderId="0" xfId="0" applyNumberFormat="1" applyFont="1" applyFill="1" applyAlignment="1">
      <alignment/>
    </xf>
    <xf numFmtId="5" fontId="4" fillId="0" borderId="0" xfId="44" applyNumberFormat="1" applyFont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5" fontId="4" fillId="0" borderId="0" xfId="0" applyNumberFormat="1" applyFont="1" applyFill="1" applyAlignment="1">
      <alignment horizontal="right"/>
    </xf>
    <xf numFmtId="5" fontId="4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7" fontId="4" fillId="0" borderId="8" xfId="0" applyNumberFormat="1" applyFont="1" applyFill="1" applyBorder="1" applyAlignment="1">
      <alignment horizontal="centerContinuous"/>
    </xf>
    <xf numFmtId="37" fontId="4" fillId="0" borderId="0" xfId="0" applyNumberFormat="1" applyFont="1" applyFill="1" applyBorder="1" applyAlignment="1">
      <alignment horizontal="centerContinuous"/>
    </xf>
    <xf numFmtId="37" fontId="4" fillId="0" borderId="0" xfId="0" applyNumberFormat="1" applyFont="1" applyFill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 quotePrefix="1">
      <alignment horizontal="centerContinuous"/>
    </xf>
    <xf numFmtId="37" fontId="4" fillId="0" borderId="9" xfId="0" applyNumberFormat="1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5" fontId="4" fillId="0" borderId="0" xfId="44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44" applyNumberFormat="1" applyFont="1" applyFill="1" applyBorder="1" applyAlignment="1">
      <alignment horizontal="right"/>
    </xf>
    <xf numFmtId="3" fontId="0" fillId="0" borderId="0" xfId="44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3" fontId="4" fillId="0" borderId="0" xfId="44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 vertical="top"/>
    </xf>
    <xf numFmtId="3" fontId="4" fillId="0" borderId="0" xfId="61" applyNumberFormat="1" applyFont="1" applyFill="1" applyBorder="1" applyAlignment="1">
      <alignment/>
    </xf>
    <xf numFmtId="37" fontId="4" fillId="0" borderId="0" xfId="61" applyFont="1" applyFill="1" applyBorder="1" applyAlignment="1">
      <alignment/>
    </xf>
    <xf numFmtId="5" fontId="4" fillId="0" borderId="0" xfId="44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5" fontId="4" fillId="0" borderId="0" xfId="44" applyNumberFormat="1" applyFont="1" applyFill="1" applyBorder="1" applyAlignment="1">
      <alignment/>
    </xf>
    <xf numFmtId="37" fontId="4" fillId="0" borderId="0" xfId="44" applyNumberFormat="1" applyFont="1" applyFill="1" applyBorder="1" applyAlignment="1">
      <alignment/>
    </xf>
    <xf numFmtId="5" fontId="5" fillId="0" borderId="0" xfId="44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7" fontId="0" fillId="0" borderId="0" xfId="44" applyNumberFormat="1" applyFont="1" applyFill="1" applyBorder="1" applyAlignment="1">
      <alignment/>
    </xf>
    <xf numFmtId="37" fontId="0" fillId="0" borderId="0" xfId="44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5" fontId="4" fillId="0" borderId="0" xfId="44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7" fontId="11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Continuous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4" fillId="0" borderId="0" xfId="44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5" fontId="10" fillId="0" borderId="0" xfId="44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5" fontId="10" fillId="0" borderId="0" xfId="44" applyFont="1" applyFill="1" applyBorder="1" applyAlignment="1">
      <alignment horizontal="left"/>
    </xf>
    <xf numFmtId="37" fontId="4" fillId="0" borderId="0" xfId="0" applyNumberFormat="1" applyFont="1" applyFill="1" applyBorder="1" applyAlignment="1" quotePrefix="1">
      <alignment horizontal="centerContinuous"/>
    </xf>
    <xf numFmtId="0" fontId="9" fillId="0" borderId="0" xfId="0" applyFont="1" applyFill="1" applyBorder="1" applyAlignment="1">
      <alignment/>
    </xf>
    <xf numFmtId="5" fontId="9" fillId="0" borderId="0" xfId="44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5" fontId="4" fillId="0" borderId="0" xfId="44" applyFont="1" applyFill="1" applyBorder="1" applyAlignment="1">
      <alignment/>
    </xf>
    <xf numFmtId="5" fontId="4" fillId="0" borderId="0" xfId="44" applyFont="1" applyFill="1" applyBorder="1" applyAlignment="1">
      <alignment horizontal="center"/>
    </xf>
    <xf numFmtId="5" fontId="0" fillId="0" borderId="0" xfId="44" applyFont="1" applyFill="1" applyBorder="1" applyAlignment="1">
      <alignment/>
    </xf>
    <xf numFmtId="5" fontId="4" fillId="0" borderId="9" xfId="44" applyFont="1" applyFill="1" applyBorder="1" applyAlignment="1">
      <alignment horizontal="center"/>
    </xf>
    <xf numFmtId="5" fontId="4" fillId="0" borderId="0" xfId="44" applyFont="1" applyFill="1" applyBorder="1" applyAlignment="1">
      <alignment horizontal="right"/>
    </xf>
    <xf numFmtId="5" fontId="0" fillId="0" borderId="0" xfId="44" applyFont="1" applyFill="1" applyBorder="1" applyAlignment="1">
      <alignment horizontal="right"/>
    </xf>
    <xf numFmtId="5" fontId="0" fillId="0" borderId="0" xfId="0" applyNumberFormat="1" applyFont="1" applyFill="1" applyAlignment="1">
      <alignment/>
    </xf>
    <xf numFmtId="5" fontId="5" fillId="0" borderId="0" xfId="0" applyNumberFormat="1" applyFont="1" applyFill="1" applyBorder="1" applyAlignment="1">
      <alignment/>
    </xf>
    <xf numFmtId="5" fontId="5" fillId="0" borderId="0" xfId="44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left"/>
    </xf>
    <xf numFmtId="3" fontId="4" fillId="0" borderId="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37" fontId="11" fillId="0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center" wrapText="1"/>
    </xf>
    <xf numFmtId="5" fontId="4" fillId="0" borderId="0" xfId="0" applyNumberFormat="1" applyFont="1" applyBorder="1" applyAlignment="1">
      <alignment/>
    </xf>
    <xf numFmtId="5" fontId="0" fillId="0" borderId="0" xfId="0" applyNumberForma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/>
    </xf>
    <xf numFmtId="37" fontId="4" fillId="0" borderId="0" xfId="44" applyNumberFormat="1" applyFont="1" applyFill="1" applyBorder="1" applyAlignment="1">
      <alignment horizontal="right"/>
    </xf>
    <xf numFmtId="37" fontId="4" fillId="0" borderId="0" xfId="44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44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37" fontId="4" fillId="0" borderId="0" xfId="44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 vertical="top"/>
    </xf>
    <xf numFmtId="37" fontId="4" fillId="0" borderId="0" xfId="0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/>
    </xf>
    <xf numFmtId="3" fontId="4" fillId="0" borderId="0" xfId="61" applyNumberFormat="1" applyFont="1" applyFill="1" applyBorder="1" applyAlignment="1">
      <alignment/>
    </xf>
    <xf numFmtId="37" fontId="4" fillId="0" borderId="0" xfId="44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7" fontId="4" fillId="33" borderId="0" xfId="44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/>
    </xf>
    <xf numFmtId="37" fontId="4" fillId="33" borderId="0" xfId="0" applyNumberFormat="1" applyFont="1" applyFill="1" applyBorder="1" applyAlignment="1">
      <alignment vertical="top"/>
    </xf>
    <xf numFmtId="5" fontId="4" fillId="33" borderId="0" xfId="44" applyFont="1" applyFill="1" applyBorder="1" applyAlignment="1">
      <alignment/>
    </xf>
    <xf numFmtId="37" fontId="4" fillId="33" borderId="0" xfId="44" applyNumberFormat="1" applyFont="1" applyFill="1" applyBorder="1" applyAlignment="1">
      <alignment horizontal="right"/>
    </xf>
    <xf numFmtId="37" fontId="0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5" fontId="5" fillId="33" borderId="0" xfId="44" applyFont="1" applyFill="1" applyBorder="1" applyAlignment="1">
      <alignment/>
    </xf>
    <xf numFmtId="3" fontId="4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4" fillId="0" borderId="9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5" fontId="4" fillId="0" borderId="0" xfId="44" applyFill="1" applyAlignment="1">
      <alignment/>
    </xf>
    <xf numFmtId="37" fontId="4" fillId="0" borderId="0" xfId="61" applyFill="1" applyAlignment="1">
      <alignment horizontal="right"/>
    </xf>
    <xf numFmtId="5" fontId="4" fillId="0" borderId="0" xfId="44" applyFill="1" applyAlignment="1">
      <alignment horizontal="right"/>
    </xf>
    <xf numFmtId="5" fontId="4" fillId="0" borderId="0" xfId="44" applyAlignment="1">
      <alignment horizontal="right"/>
    </xf>
    <xf numFmtId="5" fontId="4" fillId="0" borderId="0" xfId="44" applyFill="1" applyAlignment="1">
      <alignment/>
    </xf>
    <xf numFmtId="5" fontId="4" fillId="0" borderId="0" xfId="44" applyFill="1" applyAlignment="1">
      <alignment horizontal="center" wrapText="1"/>
    </xf>
    <xf numFmtId="37" fontId="4" fillId="0" borderId="0" xfId="61" applyFill="1" applyAlignment="1">
      <alignment/>
    </xf>
    <xf numFmtId="37" fontId="4" fillId="0" borderId="0" xfId="61" applyFill="1" applyAlignment="1">
      <alignment vertical="top"/>
    </xf>
    <xf numFmtId="5" fontId="4" fillId="0" borderId="0" xfId="44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currency good" xfId="44"/>
    <cellStyle name="Date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HE forma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Myser\Local%20Settings\Temporary%20Internet%20Files\Content.Outlook\N4M6UME4\2008%20Countie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 of Net Assets - GA"/>
      <sheetName val="St of Activities - GA Rev"/>
      <sheetName val="St of Activities - GA Exp"/>
      <sheetName val="Gen Fd BS"/>
      <sheetName val="Gov Fd BS"/>
      <sheetName val="GenRev"/>
      <sheetName val="GenExp"/>
      <sheetName val="Gov Fd Rv"/>
      <sheetName val="Gov Fnd Exp"/>
      <sheetName val="Water 1"/>
      <sheetName val="Sewer 1"/>
      <sheetName val="Landfill"/>
      <sheetName val="LT _Lia - GA"/>
    </sheetNames>
    <sheetDataSet>
      <sheetData sheetId="3">
        <row r="49">
          <cell r="O49">
            <v>0</v>
          </cell>
        </row>
      </sheetData>
      <sheetData sheetId="4">
        <row r="49">
          <cell r="O49">
            <v>0</v>
          </cell>
        </row>
        <row r="53">
          <cell r="O53">
            <v>0</v>
          </cell>
        </row>
        <row r="58">
          <cell r="O58">
            <v>0</v>
          </cell>
        </row>
        <row r="62">
          <cell r="O62">
            <v>0</v>
          </cell>
        </row>
        <row r="63">
          <cell r="O63">
            <v>0</v>
          </cell>
        </row>
      </sheetData>
      <sheetData sheetId="5">
        <row r="49">
          <cell r="Q49">
            <v>0</v>
          </cell>
          <cell r="S49">
            <v>0</v>
          </cell>
        </row>
      </sheetData>
      <sheetData sheetId="6">
        <row r="49">
          <cell r="AC49">
            <v>0</v>
          </cell>
        </row>
      </sheetData>
      <sheetData sheetId="7">
        <row r="49">
          <cell r="Q49">
            <v>0</v>
          </cell>
          <cell r="S49">
            <v>0</v>
          </cell>
        </row>
        <row r="53">
          <cell r="Q53">
            <v>0</v>
          </cell>
          <cell r="S53">
            <v>0</v>
          </cell>
        </row>
        <row r="58">
          <cell r="Q58">
            <v>0</v>
          </cell>
          <cell r="S58">
            <v>0</v>
          </cell>
        </row>
        <row r="62">
          <cell r="Q62">
            <v>0</v>
          </cell>
          <cell r="S62">
            <v>0</v>
          </cell>
        </row>
        <row r="63">
          <cell r="Q63">
            <v>0</v>
          </cell>
          <cell r="S63">
            <v>0</v>
          </cell>
        </row>
      </sheetData>
      <sheetData sheetId="8">
        <row r="49">
          <cell r="AC49">
            <v>0</v>
          </cell>
        </row>
        <row r="53">
          <cell r="AC53">
            <v>0</v>
          </cell>
        </row>
        <row r="58">
          <cell r="AC58">
            <v>0</v>
          </cell>
        </row>
        <row r="62">
          <cell r="AC62">
            <v>0</v>
          </cell>
        </row>
        <row r="63">
          <cell r="AC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"/>
    </sheetView>
  </sheetViews>
  <sheetFormatPr defaultColWidth="9.140625" defaultRowHeight="12.75"/>
  <cols>
    <col min="1" max="1" width="15.7109375" style="93" customWidth="1"/>
    <col min="2" max="2" width="1.7109375" style="93" customWidth="1"/>
    <col min="3" max="3" width="11.7109375" style="127" customWidth="1"/>
    <col min="4" max="4" width="1.7109375" style="95" customWidth="1"/>
    <col min="5" max="5" width="11.7109375" style="95" customWidth="1"/>
    <col min="6" max="6" width="1.7109375" style="95" customWidth="1"/>
    <col min="7" max="7" width="11.7109375" style="95" customWidth="1"/>
    <col min="8" max="8" width="1.7109375" style="95" customWidth="1"/>
    <col min="9" max="9" width="11.7109375" style="95" customWidth="1"/>
    <col min="10" max="10" width="1.8515625" style="95" customWidth="1"/>
    <col min="11" max="11" width="11.7109375" style="24" customWidth="1"/>
    <col min="12" max="12" width="1.7109375" style="24" hidden="1" customWidth="1"/>
    <col min="13" max="13" width="11.7109375" style="24" customWidth="1"/>
    <col min="14" max="14" width="1.7109375" style="24" customWidth="1"/>
    <col min="15" max="15" width="11.7109375" style="24" customWidth="1"/>
    <col min="16" max="16" width="1.7109375" style="24" customWidth="1"/>
    <col min="17" max="17" width="11.7109375" style="24" customWidth="1"/>
    <col min="18" max="18" width="1.7109375" style="24" customWidth="1"/>
    <col min="19" max="19" width="11.7109375" style="24" customWidth="1"/>
    <col min="20" max="20" width="1.7109375" style="24" customWidth="1"/>
    <col min="21" max="21" width="11.7109375" style="24" customWidth="1"/>
    <col min="22" max="22" width="1.7109375" style="24" customWidth="1"/>
    <col min="23" max="23" width="12.7109375" style="24" customWidth="1"/>
    <col min="24" max="24" width="2.7109375" style="127" customWidth="1"/>
    <col min="25" max="25" width="15.7109375" style="93" customWidth="1"/>
    <col min="26" max="16384" width="9.140625" style="92" customWidth="1"/>
  </cols>
  <sheetData>
    <row r="1" spans="1:25" ht="12.75" customHeight="1">
      <c r="A1" s="49" t="s">
        <v>136</v>
      </c>
      <c r="B1" s="33"/>
      <c r="C1" s="24"/>
      <c r="D1" s="5"/>
      <c r="E1" s="5"/>
      <c r="F1" s="5"/>
      <c r="G1" s="5"/>
      <c r="H1" s="5"/>
      <c r="I1" s="5"/>
      <c r="J1" s="5"/>
      <c r="X1" s="24"/>
      <c r="Y1" s="33"/>
    </row>
    <row r="2" spans="1:25" ht="12.75" customHeight="1">
      <c r="A2" s="49" t="s">
        <v>251</v>
      </c>
      <c r="B2" s="33"/>
      <c r="C2" s="24"/>
      <c r="D2" s="5"/>
      <c r="E2" s="5"/>
      <c r="F2" s="5"/>
      <c r="G2" s="5"/>
      <c r="H2" s="5"/>
      <c r="I2" s="5"/>
      <c r="J2" s="5"/>
      <c r="X2" s="24"/>
      <c r="Y2" s="33"/>
    </row>
    <row r="3" spans="1:25" ht="12.75" customHeight="1">
      <c r="A3" s="49" t="s">
        <v>247</v>
      </c>
      <c r="B3" s="33"/>
      <c r="C3" s="24"/>
      <c r="D3" s="5"/>
      <c r="E3" s="5"/>
      <c r="F3" s="5"/>
      <c r="G3" s="5"/>
      <c r="H3" s="5"/>
      <c r="I3" s="5"/>
      <c r="J3" s="5"/>
      <c r="X3" s="24"/>
      <c r="Y3" s="33"/>
    </row>
    <row r="4" spans="1:25" ht="12.75" customHeight="1">
      <c r="A4" s="49" t="s">
        <v>183</v>
      </c>
      <c r="B4" s="33"/>
      <c r="C4" s="24"/>
      <c r="D4" s="5"/>
      <c r="E4" s="5"/>
      <c r="F4" s="5"/>
      <c r="G4" s="5"/>
      <c r="H4" s="5"/>
      <c r="I4" s="5"/>
      <c r="J4" s="5"/>
      <c r="X4" s="24"/>
      <c r="Y4" s="33"/>
    </row>
    <row r="5" spans="1:25" ht="12.75" customHeight="1">
      <c r="A5" s="33"/>
      <c r="B5" s="33"/>
      <c r="C5" s="24"/>
      <c r="D5" s="5"/>
      <c r="E5" s="5"/>
      <c r="F5" s="5"/>
      <c r="G5" s="5"/>
      <c r="H5" s="5"/>
      <c r="I5" s="5"/>
      <c r="J5" s="5"/>
      <c r="X5" s="24"/>
      <c r="Y5" s="33"/>
    </row>
    <row r="6" spans="2:25" ht="12.75" customHeight="1">
      <c r="B6" s="33"/>
      <c r="C6" s="50" t="s">
        <v>116</v>
      </c>
      <c r="D6" s="10"/>
      <c r="E6" s="10"/>
      <c r="F6" s="10"/>
      <c r="G6" s="10"/>
      <c r="H6" s="10"/>
      <c r="I6" s="10"/>
      <c r="J6" s="5"/>
      <c r="K6" s="50" t="s">
        <v>121</v>
      </c>
      <c r="L6" s="50"/>
      <c r="M6" s="50"/>
      <c r="N6" s="50"/>
      <c r="O6" s="50"/>
      <c r="Q6" s="50" t="s">
        <v>137</v>
      </c>
      <c r="R6" s="50"/>
      <c r="S6" s="50"/>
      <c r="T6" s="50"/>
      <c r="U6" s="50"/>
      <c r="V6" s="50"/>
      <c r="W6" s="50"/>
      <c r="X6" s="24"/>
      <c r="Y6" s="33"/>
    </row>
    <row r="7" spans="1:25" ht="12.75" customHeight="1">
      <c r="A7" s="19"/>
      <c r="B7" s="19"/>
      <c r="C7" s="52" t="s">
        <v>134</v>
      </c>
      <c r="D7" s="12"/>
      <c r="E7" s="12" t="s">
        <v>87</v>
      </c>
      <c r="F7" s="12"/>
      <c r="G7" s="12" t="s">
        <v>118</v>
      </c>
      <c r="H7" s="12"/>
      <c r="I7" s="12" t="s">
        <v>4</v>
      </c>
      <c r="J7" s="5"/>
      <c r="K7" s="52" t="s">
        <v>134</v>
      </c>
      <c r="L7" s="52"/>
      <c r="M7" s="52" t="s">
        <v>203</v>
      </c>
      <c r="N7" s="52"/>
      <c r="O7" s="52" t="s">
        <v>4</v>
      </c>
      <c r="Q7" s="21" t="s">
        <v>138</v>
      </c>
      <c r="R7" s="21"/>
      <c r="S7" s="21"/>
      <c r="T7" s="21"/>
      <c r="U7" s="21"/>
      <c r="V7" s="21"/>
      <c r="W7" s="52" t="s">
        <v>4</v>
      </c>
      <c r="X7" s="24"/>
      <c r="Y7" s="33"/>
    </row>
    <row r="8" spans="1:25" ht="12.75" customHeight="1">
      <c r="A8" s="22" t="s">
        <v>5</v>
      </c>
      <c r="B8" s="19"/>
      <c r="C8" s="20" t="s">
        <v>116</v>
      </c>
      <c r="D8" s="13"/>
      <c r="E8" s="15" t="s">
        <v>116</v>
      </c>
      <c r="F8" s="13"/>
      <c r="G8" s="15" t="s">
        <v>139</v>
      </c>
      <c r="H8" s="13"/>
      <c r="I8" s="15" t="s">
        <v>116</v>
      </c>
      <c r="J8" s="11"/>
      <c r="K8" s="20" t="s">
        <v>121</v>
      </c>
      <c r="L8" s="21"/>
      <c r="M8" s="20" t="s">
        <v>204</v>
      </c>
      <c r="N8" s="21"/>
      <c r="O8" s="20" t="s">
        <v>121</v>
      </c>
      <c r="P8" s="17"/>
      <c r="Q8" s="20" t="s">
        <v>140</v>
      </c>
      <c r="R8" s="21"/>
      <c r="S8" s="20" t="s">
        <v>141</v>
      </c>
      <c r="T8" s="21"/>
      <c r="U8" s="20" t="s">
        <v>142</v>
      </c>
      <c r="V8" s="21"/>
      <c r="W8" s="20" t="s">
        <v>137</v>
      </c>
      <c r="X8" s="24"/>
      <c r="Y8" s="33" t="s">
        <v>205</v>
      </c>
    </row>
    <row r="9" spans="1:25" ht="12.75" customHeight="1">
      <c r="A9" s="19"/>
      <c r="B9" s="19"/>
      <c r="C9" s="21"/>
      <c r="D9" s="13"/>
      <c r="E9" s="13"/>
      <c r="F9" s="13"/>
      <c r="G9" s="13"/>
      <c r="H9" s="13"/>
      <c r="I9" s="13"/>
      <c r="J9" s="5"/>
      <c r="K9" s="21"/>
      <c r="L9" s="21"/>
      <c r="M9" s="21"/>
      <c r="N9" s="21"/>
      <c r="O9" s="21"/>
      <c r="Q9" s="21"/>
      <c r="R9" s="21"/>
      <c r="S9" s="21"/>
      <c r="T9" s="21"/>
      <c r="U9" s="21"/>
      <c r="V9" s="21"/>
      <c r="W9" s="21"/>
      <c r="X9" s="24"/>
      <c r="Y9" s="33"/>
    </row>
    <row r="10" spans="1:25" ht="12.75" customHeight="1" hidden="1">
      <c r="A10" s="23" t="s">
        <v>235</v>
      </c>
      <c r="B10" s="19"/>
      <c r="C10" s="44">
        <f>+I10-E10-G10</f>
        <v>11134180</v>
      </c>
      <c r="D10" s="44"/>
      <c r="E10" s="44">
        <v>0</v>
      </c>
      <c r="F10" s="44"/>
      <c r="G10" s="44">
        <v>0</v>
      </c>
      <c r="H10" s="44"/>
      <c r="I10" s="44">
        <v>11134180</v>
      </c>
      <c r="J10" s="44"/>
      <c r="K10" s="44">
        <f>+O10-M10</f>
        <v>0</v>
      </c>
      <c r="L10" s="44"/>
      <c r="M10" s="44">
        <v>0</v>
      </c>
      <c r="N10" s="44"/>
      <c r="O10" s="44">
        <v>0</v>
      </c>
      <c r="P10" s="44"/>
      <c r="Q10" s="44">
        <v>0</v>
      </c>
      <c r="R10" s="44"/>
      <c r="S10" s="44">
        <f>W10-U10-Q10</f>
        <v>9960730</v>
      </c>
      <c r="T10" s="44"/>
      <c r="U10" s="44">
        <v>1173450</v>
      </c>
      <c r="V10" s="44"/>
      <c r="W10" s="44">
        <v>11134180</v>
      </c>
      <c r="X10" s="24"/>
      <c r="Y10" s="44">
        <f>I10-O10-W10</f>
        <v>0</v>
      </c>
    </row>
    <row r="11" spans="1:25" s="93" customFormat="1" ht="12.75" customHeight="1">
      <c r="A11" s="131" t="s">
        <v>13</v>
      </c>
      <c r="B11" s="23"/>
      <c r="C11" s="177">
        <f>+I11-E11-G11</f>
        <v>67739029</v>
      </c>
      <c r="D11" s="44"/>
      <c r="E11" s="44">
        <f>3929515+55504209</f>
        <v>59433724</v>
      </c>
      <c r="F11" s="44"/>
      <c r="G11" s="44">
        <v>0</v>
      </c>
      <c r="H11" s="44"/>
      <c r="I11" s="44">
        <v>127172753</v>
      </c>
      <c r="J11" s="44"/>
      <c r="K11" s="44">
        <f>+O11-M11</f>
        <v>22372833</v>
      </c>
      <c r="L11" s="44"/>
      <c r="M11" s="44">
        <v>21046612</v>
      </c>
      <c r="N11" s="44"/>
      <c r="O11" s="44">
        <v>43419445</v>
      </c>
      <c r="P11" s="44"/>
      <c r="Q11" s="44">
        <v>35751319</v>
      </c>
      <c r="R11" s="44"/>
      <c r="S11" s="44">
        <f>W11-U11-Q11</f>
        <v>31237355</v>
      </c>
      <c r="T11" s="44"/>
      <c r="U11" s="44">
        <v>16764634</v>
      </c>
      <c r="V11" s="44"/>
      <c r="W11" s="44">
        <v>83753308</v>
      </c>
      <c r="X11" s="24"/>
      <c r="Y11" s="44">
        <f>I11-O11-W11</f>
        <v>0</v>
      </c>
    </row>
    <row r="12" spans="1:25" s="93" customFormat="1" ht="12.75" customHeight="1">
      <c r="A12" s="23" t="s">
        <v>14</v>
      </c>
      <c r="B12" s="23"/>
      <c r="C12" s="24">
        <f>+I12-E12-G12</f>
        <v>30122173</v>
      </c>
      <c r="D12" s="24"/>
      <c r="E12" s="24">
        <v>40981043</v>
      </c>
      <c r="F12" s="24"/>
      <c r="G12" s="24">
        <v>0</v>
      </c>
      <c r="H12" s="24"/>
      <c r="I12" s="24">
        <v>71103216</v>
      </c>
      <c r="J12" s="24"/>
      <c r="K12" s="24">
        <f>+O12-M12</f>
        <v>8539915</v>
      </c>
      <c r="L12" s="24"/>
      <c r="M12" s="24">
        <v>3445347</v>
      </c>
      <c r="N12" s="24"/>
      <c r="O12" s="24">
        <v>11985262</v>
      </c>
      <c r="P12" s="24"/>
      <c r="Q12" s="24">
        <v>38635599</v>
      </c>
      <c r="R12" s="24"/>
      <c r="S12" s="24">
        <f>W12-U12-Q12</f>
        <v>17523771</v>
      </c>
      <c r="T12" s="24"/>
      <c r="U12" s="24">
        <v>2958584</v>
      </c>
      <c r="V12" s="24"/>
      <c r="W12" s="24">
        <v>59117954</v>
      </c>
      <c r="X12" s="24"/>
      <c r="Y12" s="24">
        <f aca="true" t="shared" si="0" ref="Y12:Y27">I12-O12-W12</f>
        <v>0</v>
      </c>
    </row>
    <row r="13" spans="1:25" s="93" customFormat="1" ht="12.75" customHeight="1">
      <c r="A13" s="23" t="s">
        <v>15</v>
      </c>
      <c r="B13" s="23"/>
      <c r="C13" s="24">
        <f aca="true" t="shared" si="1" ref="C13:C76">+I13-E13-G13</f>
        <v>69098443</v>
      </c>
      <c r="D13" s="24"/>
      <c r="E13" s="24">
        <v>142326782</v>
      </c>
      <c r="F13" s="24"/>
      <c r="G13" s="24">
        <v>0</v>
      </c>
      <c r="H13" s="24"/>
      <c r="I13" s="24">
        <v>211425225</v>
      </c>
      <c r="J13" s="24"/>
      <c r="K13" s="24">
        <f aca="true" t="shared" si="2" ref="K13:K76">+O13-M13</f>
        <v>22575675</v>
      </c>
      <c r="L13" s="24"/>
      <c r="M13" s="24">
        <v>8386869</v>
      </c>
      <c r="N13" s="24"/>
      <c r="O13" s="24">
        <v>30962544</v>
      </c>
      <c r="P13" s="24"/>
      <c r="Q13" s="24">
        <v>135441445</v>
      </c>
      <c r="R13" s="24"/>
      <c r="S13" s="24">
        <f aca="true" t="shared" si="3" ref="S13:S76">W13-U13-Q13</f>
        <v>36881062</v>
      </c>
      <c r="T13" s="24"/>
      <c r="U13" s="24">
        <v>8140174</v>
      </c>
      <c r="V13" s="24"/>
      <c r="W13" s="24">
        <v>180462681</v>
      </c>
      <c r="X13" s="24"/>
      <c r="Y13" s="24">
        <f t="shared" si="0"/>
        <v>0</v>
      </c>
    </row>
    <row r="14" spans="1:25" s="93" customFormat="1" ht="12.75" customHeight="1" hidden="1">
      <c r="A14" s="23" t="s">
        <v>16</v>
      </c>
      <c r="B14" s="23"/>
      <c r="C14" s="24">
        <f t="shared" si="1"/>
        <v>0</v>
      </c>
      <c r="D14" s="24"/>
      <c r="E14" s="24"/>
      <c r="F14" s="24"/>
      <c r="G14" s="24"/>
      <c r="H14" s="24"/>
      <c r="I14" s="24"/>
      <c r="J14" s="24"/>
      <c r="K14" s="24">
        <f t="shared" si="2"/>
        <v>0</v>
      </c>
      <c r="L14" s="24"/>
      <c r="M14" s="24"/>
      <c r="N14" s="24"/>
      <c r="O14" s="24"/>
      <c r="P14" s="24"/>
      <c r="Q14" s="24"/>
      <c r="R14" s="24"/>
      <c r="S14" s="24">
        <f>W14-U14-Q14</f>
        <v>0</v>
      </c>
      <c r="T14" s="24"/>
      <c r="U14" s="24"/>
      <c r="V14" s="24"/>
      <c r="W14" s="24"/>
      <c r="X14" s="24"/>
      <c r="Y14" s="24">
        <f>I14-O14-W14</f>
        <v>0</v>
      </c>
    </row>
    <row r="15" spans="1:25" s="93" customFormat="1" ht="12.75" customHeight="1">
      <c r="A15" s="23" t="s">
        <v>17</v>
      </c>
      <c r="B15" s="23"/>
      <c r="C15" s="24">
        <f t="shared" si="1"/>
        <v>36130278</v>
      </c>
      <c r="D15" s="24"/>
      <c r="E15" s="24">
        <v>43577819</v>
      </c>
      <c r="F15" s="24"/>
      <c r="G15" s="24">
        <v>0</v>
      </c>
      <c r="H15" s="24"/>
      <c r="I15" s="24">
        <v>79708097</v>
      </c>
      <c r="J15" s="24"/>
      <c r="K15" s="24">
        <f t="shared" si="2"/>
        <v>9231170</v>
      </c>
      <c r="L15" s="24"/>
      <c r="M15" s="24">
        <v>2176493</v>
      </c>
      <c r="N15" s="24"/>
      <c r="O15" s="24">
        <v>11407663</v>
      </c>
      <c r="P15" s="24"/>
      <c r="Q15" s="24">
        <v>43337822</v>
      </c>
      <c r="R15" s="24"/>
      <c r="S15" s="24">
        <f t="shared" si="3"/>
        <v>17902609</v>
      </c>
      <c r="T15" s="24"/>
      <c r="U15" s="24">
        <v>7060003</v>
      </c>
      <c r="V15" s="24"/>
      <c r="W15" s="24">
        <v>68300434</v>
      </c>
      <c r="X15" s="24"/>
      <c r="Y15" s="24">
        <f t="shared" si="0"/>
        <v>0</v>
      </c>
    </row>
    <row r="16" spans="1:25" s="93" customFormat="1" ht="12.75" customHeight="1">
      <c r="A16" s="23" t="s">
        <v>18</v>
      </c>
      <c r="B16" s="23"/>
      <c r="C16" s="24">
        <f t="shared" si="1"/>
        <v>52936606</v>
      </c>
      <c r="D16" s="24"/>
      <c r="E16" s="24">
        <v>73583154</v>
      </c>
      <c r="F16" s="24"/>
      <c r="G16" s="24">
        <v>0</v>
      </c>
      <c r="H16" s="24"/>
      <c r="I16" s="24">
        <v>126519760</v>
      </c>
      <c r="J16" s="24"/>
      <c r="K16" s="24">
        <f>+O16-M16</f>
        <v>12697470</v>
      </c>
      <c r="L16" s="24"/>
      <c r="M16" s="24">
        <v>10780553</v>
      </c>
      <c r="N16" s="24"/>
      <c r="O16" s="24">
        <v>23478023</v>
      </c>
      <c r="P16" s="24"/>
      <c r="Q16" s="24">
        <v>66263140</v>
      </c>
      <c r="R16" s="24"/>
      <c r="S16" s="24">
        <f t="shared" si="3"/>
        <v>28047942</v>
      </c>
      <c r="T16" s="24"/>
      <c r="U16" s="24">
        <v>8730655</v>
      </c>
      <c r="V16" s="24"/>
      <c r="W16" s="24">
        <v>103041737</v>
      </c>
      <c r="X16" s="24"/>
      <c r="Y16" s="24">
        <f t="shared" si="0"/>
        <v>0</v>
      </c>
    </row>
    <row r="17" spans="1:25" s="93" customFormat="1" ht="12.75" customHeight="1" hidden="1">
      <c r="A17" s="23" t="s">
        <v>238</v>
      </c>
      <c r="B17" s="23"/>
      <c r="C17" s="24">
        <f t="shared" si="1"/>
        <v>0</v>
      </c>
      <c r="D17" s="24"/>
      <c r="E17" s="24"/>
      <c r="F17" s="24"/>
      <c r="G17" s="24"/>
      <c r="H17" s="24"/>
      <c r="I17" s="24"/>
      <c r="J17" s="24"/>
      <c r="K17" s="24">
        <f t="shared" si="2"/>
        <v>0</v>
      </c>
      <c r="L17" s="24"/>
      <c r="M17" s="24"/>
      <c r="N17" s="24"/>
      <c r="O17" s="24"/>
      <c r="P17" s="24"/>
      <c r="Q17" s="24"/>
      <c r="R17" s="24"/>
      <c r="S17" s="24">
        <f t="shared" si="3"/>
        <v>0</v>
      </c>
      <c r="T17" s="24"/>
      <c r="U17" s="24"/>
      <c r="V17" s="24"/>
      <c r="W17" s="24"/>
      <c r="X17" s="24"/>
      <c r="Y17" s="24">
        <f t="shared" si="0"/>
        <v>0</v>
      </c>
    </row>
    <row r="18" spans="1:25" s="93" customFormat="1" ht="12.75" customHeight="1">
      <c r="A18" s="23" t="s">
        <v>236</v>
      </c>
      <c r="B18" s="23"/>
      <c r="C18" s="24">
        <f t="shared" si="1"/>
        <v>263870710</v>
      </c>
      <c r="D18" s="24"/>
      <c r="E18" s="143">
        <f>252138302+134671717</f>
        <v>386810019</v>
      </c>
      <c r="F18" s="24"/>
      <c r="G18" s="24">
        <v>1158416</v>
      </c>
      <c r="H18" s="24"/>
      <c r="I18" s="24">
        <v>651839145</v>
      </c>
      <c r="J18" s="24"/>
      <c r="K18" s="24">
        <f t="shared" si="2"/>
        <v>112682297</v>
      </c>
      <c r="L18" s="24"/>
      <c r="M18" s="24">
        <v>92748062</v>
      </c>
      <c r="N18" s="24"/>
      <c r="O18" s="24">
        <v>205430359</v>
      </c>
      <c r="P18" s="24"/>
      <c r="Q18" s="24">
        <v>333324344</v>
      </c>
      <c r="R18" s="24"/>
      <c r="S18" s="24">
        <f t="shared" si="3"/>
        <v>89578161</v>
      </c>
      <c r="T18" s="24"/>
      <c r="U18" s="24">
        <v>23506281</v>
      </c>
      <c r="V18" s="24"/>
      <c r="W18" s="24">
        <v>446408786</v>
      </c>
      <c r="X18" s="24"/>
      <c r="Y18" s="24">
        <f>I18-O18-W18</f>
        <v>0</v>
      </c>
    </row>
    <row r="19" spans="1:25" s="93" customFormat="1" ht="12.75" customHeight="1">
      <c r="A19" s="23" t="s">
        <v>20</v>
      </c>
      <c r="B19" s="23"/>
      <c r="C19" s="24">
        <f t="shared" si="1"/>
        <v>18312302</v>
      </c>
      <c r="D19" s="24"/>
      <c r="E19" s="24">
        <v>10834539</v>
      </c>
      <c r="F19" s="24"/>
      <c r="G19" s="24">
        <v>0</v>
      </c>
      <c r="H19" s="24"/>
      <c r="I19" s="24">
        <v>29146841</v>
      </c>
      <c r="J19" s="24"/>
      <c r="K19" s="24">
        <f t="shared" si="2"/>
        <v>5960305</v>
      </c>
      <c r="L19" s="24"/>
      <c r="M19" s="24">
        <v>1443195</v>
      </c>
      <c r="N19" s="24"/>
      <c r="O19" s="24">
        <v>7403500</v>
      </c>
      <c r="P19" s="24"/>
      <c r="Q19" s="24">
        <v>10382191</v>
      </c>
      <c r="R19" s="24"/>
      <c r="S19" s="24">
        <f t="shared" si="3"/>
        <v>8871197</v>
      </c>
      <c r="T19" s="24"/>
      <c r="U19" s="24">
        <v>2489953</v>
      </c>
      <c r="V19" s="24"/>
      <c r="W19" s="24">
        <v>21743341</v>
      </c>
      <c r="X19" s="24"/>
      <c r="Y19" s="24">
        <f t="shared" si="0"/>
        <v>0</v>
      </c>
    </row>
    <row r="20" spans="1:25" s="93" customFormat="1" ht="12.75" customHeight="1" hidden="1">
      <c r="A20" s="23" t="s">
        <v>171</v>
      </c>
      <c r="B20" s="23"/>
      <c r="C20" s="24">
        <f t="shared" si="1"/>
        <v>0</v>
      </c>
      <c r="D20" s="24"/>
      <c r="E20" s="24"/>
      <c r="F20" s="24"/>
      <c r="G20" s="24"/>
      <c r="H20" s="24"/>
      <c r="I20" s="24"/>
      <c r="J20" s="24"/>
      <c r="K20" s="24">
        <f t="shared" si="2"/>
        <v>0</v>
      </c>
      <c r="L20" s="24"/>
      <c r="M20" s="24"/>
      <c r="N20" s="24"/>
      <c r="O20" s="24"/>
      <c r="P20" s="24"/>
      <c r="Q20" s="24"/>
      <c r="R20" s="24"/>
      <c r="S20" s="24">
        <f t="shared" si="3"/>
        <v>0</v>
      </c>
      <c r="T20" s="24"/>
      <c r="U20" s="24"/>
      <c r="V20" s="24"/>
      <c r="W20" s="24"/>
      <c r="X20" s="24"/>
      <c r="Y20" s="24">
        <f t="shared" si="0"/>
        <v>0</v>
      </c>
    </row>
    <row r="21" spans="1:25" s="93" customFormat="1" ht="12.75" customHeight="1">
      <c r="A21" s="23" t="s">
        <v>21</v>
      </c>
      <c r="B21" s="23"/>
      <c r="C21" s="24">
        <f t="shared" si="1"/>
        <v>104099362</v>
      </c>
      <c r="D21" s="24"/>
      <c r="E21" s="24">
        <f>7204888+2352281+76834858</f>
        <v>86392027</v>
      </c>
      <c r="F21" s="24"/>
      <c r="G21" s="24">
        <v>0</v>
      </c>
      <c r="H21" s="24"/>
      <c r="I21" s="24">
        <v>190491389</v>
      </c>
      <c r="J21" s="24"/>
      <c r="K21" s="24">
        <f t="shared" si="2"/>
        <v>37050261</v>
      </c>
      <c r="L21" s="24"/>
      <c r="M21" s="24">
        <v>16898648</v>
      </c>
      <c r="N21" s="24"/>
      <c r="O21" s="24">
        <v>53948909</v>
      </c>
      <c r="P21" s="24"/>
      <c r="Q21" s="24">
        <v>71035654</v>
      </c>
      <c r="R21" s="24"/>
      <c r="S21" s="24">
        <f t="shared" si="3"/>
        <v>54491825</v>
      </c>
      <c r="T21" s="24"/>
      <c r="U21" s="24">
        <v>11015001</v>
      </c>
      <c r="V21" s="24"/>
      <c r="W21" s="24">
        <v>136542480</v>
      </c>
      <c r="X21" s="24"/>
      <c r="Y21" s="24">
        <f t="shared" si="0"/>
        <v>0</v>
      </c>
    </row>
    <row r="22" spans="1:25" s="93" customFormat="1" ht="12.75" customHeight="1">
      <c r="A22" s="23" t="s">
        <v>180</v>
      </c>
      <c r="B22" s="23"/>
      <c r="C22" s="24">
        <f t="shared" si="1"/>
        <v>132723551</v>
      </c>
      <c r="D22" s="24"/>
      <c r="E22" s="24">
        <v>141617091</v>
      </c>
      <c r="F22" s="24"/>
      <c r="G22" s="24">
        <v>0</v>
      </c>
      <c r="H22" s="24"/>
      <c r="I22" s="24">
        <v>274340642</v>
      </c>
      <c r="J22" s="24"/>
      <c r="K22" s="24">
        <f t="shared" si="2"/>
        <v>32697432</v>
      </c>
      <c r="L22" s="24"/>
      <c r="M22" s="24">
        <v>13757288</v>
      </c>
      <c r="N22" s="24"/>
      <c r="O22" s="24">
        <v>46454720</v>
      </c>
      <c r="P22" s="24"/>
      <c r="Q22" s="24">
        <v>152998083</v>
      </c>
      <c r="R22" s="24"/>
      <c r="S22" s="24">
        <f t="shared" si="3"/>
        <v>52992216</v>
      </c>
      <c r="T22" s="24"/>
      <c r="U22" s="24">
        <v>21895623</v>
      </c>
      <c r="V22" s="24"/>
      <c r="W22" s="24">
        <v>227885922</v>
      </c>
      <c r="X22" s="24"/>
      <c r="Y22" s="24">
        <f t="shared" si="0"/>
        <v>0</v>
      </c>
    </row>
    <row r="23" spans="1:25" s="93" customFormat="1" ht="12.75" customHeight="1">
      <c r="A23" s="23" t="s">
        <v>22</v>
      </c>
      <c r="B23" s="23"/>
      <c r="C23" s="24">
        <f t="shared" si="1"/>
        <v>76059184</v>
      </c>
      <c r="D23" s="24"/>
      <c r="E23" s="24">
        <v>51023710</v>
      </c>
      <c r="F23" s="24"/>
      <c r="G23" s="24">
        <v>0</v>
      </c>
      <c r="H23" s="24"/>
      <c r="I23" s="24">
        <v>127082894</v>
      </c>
      <c r="J23" s="24"/>
      <c r="K23" s="24">
        <f t="shared" si="2"/>
        <v>9062616</v>
      </c>
      <c r="L23" s="24"/>
      <c r="M23" s="24">
        <v>10814561</v>
      </c>
      <c r="N23" s="24"/>
      <c r="O23" s="24">
        <v>19877177</v>
      </c>
      <c r="P23" s="24"/>
      <c r="Q23" s="24">
        <v>40385370</v>
      </c>
      <c r="R23" s="24"/>
      <c r="S23" s="24">
        <f t="shared" si="3"/>
        <v>20406635</v>
      </c>
      <c r="T23" s="24"/>
      <c r="U23" s="24">
        <v>46413712</v>
      </c>
      <c r="V23" s="24"/>
      <c r="W23" s="24">
        <v>107205717</v>
      </c>
      <c r="X23" s="24"/>
      <c r="Y23" s="24">
        <f t="shared" si="0"/>
        <v>0</v>
      </c>
    </row>
    <row r="24" spans="1:25" s="93" customFormat="1" ht="12.75" customHeight="1" hidden="1">
      <c r="A24" s="23" t="s">
        <v>23</v>
      </c>
      <c r="B24" s="23"/>
      <c r="C24" s="24">
        <f t="shared" si="1"/>
        <v>38414152</v>
      </c>
      <c r="D24" s="24"/>
      <c r="E24" s="24"/>
      <c r="F24" s="24"/>
      <c r="G24" s="24"/>
      <c r="H24" s="24"/>
      <c r="I24" s="24">
        <v>38414152</v>
      </c>
      <c r="J24" s="24"/>
      <c r="K24" s="24">
        <f t="shared" si="2"/>
        <v>0</v>
      </c>
      <c r="L24" s="24"/>
      <c r="M24" s="24"/>
      <c r="N24" s="24"/>
      <c r="O24" s="24"/>
      <c r="P24" s="24"/>
      <c r="Q24" s="24"/>
      <c r="R24" s="24"/>
      <c r="S24" s="24">
        <f t="shared" si="3"/>
        <v>35894749</v>
      </c>
      <c r="T24" s="24"/>
      <c r="U24" s="24">
        <v>2519403</v>
      </c>
      <c r="V24" s="24"/>
      <c r="W24" s="24">
        <v>38414152</v>
      </c>
      <c r="X24" s="24"/>
      <c r="Y24" s="24">
        <f t="shared" si="0"/>
        <v>0</v>
      </c>
    </row>
    <row r="25" spans="1:25" s="93" customFormat="1" ht="12.75" customHeight="1">
      <c r="A25" s="23" t="s">
        <v>24</v>
      </c>
      <c r="B25" s="23"/>
      <c r="C25" s="24">
        <f t="shared" si="1"/>
        <v>24667172</v>
      </c>
      <c r="D25" s="24"/>
      <c r="E25" s="24">
        <v>29763311</v>
      </c>
      <c r="F25" s="24"/>
      <c r="G25" s="24">
        <v>0</v>
      </c>
      <c r="H25" s="24"/>
      <c r="I25" s="24">
        <v>54430483</v>
      </c>
      <c r="J25" s="24"/>
      <c r="K25" s="24">
        <f t="shared" si="2"/>
        <v>9687888</v>
      </c>
      <c r="L25" s="24"/>
      <c r="M25" s="24">
        <v>4243544</v>
      </c>
      <c r="N25" s="24"/>
      <c r="O25" s="24">
        <v>13931432</v>
      </c>
      <c r="P25" s="24"/>
      <c r="Q25" s="24">
        <v>25479709</v>
      </c>
      <c r="R25" s="24"/>
      <c r="S25" s="24">
        <f t="shared" si="3"/>
        <v>10564588</v>
      </c>
      <c r="T25" s="24"/>
      <c r="U25" s="24">
        <v>4454754</v>
      </c>
      <c r="V25" s="24"/>
      <c r="W25" s="24">
        <v>40499051</v>
      </c>
      <c r="X25" s="24"/>
      <c r="Y25" s="24">
        <f t="shared" si="0"/>
        <v>0</v>
      </c>
    </row>
    <row r="26" spans="1:25" s="93" customFormat="1" ht="12.75" customHeight="1">
      <c r="A26" s="23" t="s">
        <v>241</v>
      </c>
      <c r="B26" s="23"/>
      <c r="C26" s="24">
        <f t="shared" si="1"/>
        <v>32189635</v>
      </c>
      <c r="D26" s="24"/>
      <c r="E26" s="24">
        <f>11660877+42340786</f>
        <v>54001663</v>
      </c>
      <c r="F26" s="24"/>
      <c r="G26" s="24">
        <v>0</v>
      </c>
      <c r="H26" s="24"/>
      <c r="I26" s="24">
        <v>86191298</v>
      </c>
      <c r="J26" s="24"/>
      <c r="K26" s="24">
        <f t="shared" si="2"/>
        <v>8310464</v>
      </c>
      <c r="L26" s="24"/>
      <c r="M26" s="24">
        <v>13252226</v>
      </c>
      <c r="N26" s="24"/>
      <c r="O26" s="24">
        <v>21562690</v>
      </c>
      <c r="P26" s="24"/>
      <c r="Q26" s="24">
        <v>42477930</v>
      </c>
      <c r="R26" s="24"/>
      <c r="S26" s="24">
        <f t="shared" si="3"/>
        <v>18319213</v>
      </c>
      <c r="T26" s="24"/>
      <c r="U26" s="24">
        <v>3831465</v>
      </c>
      <c r="V26" s="24"/>
      <c r="W26" s="24">
        <v>64628608</v>
      </c>
      <c r="X26" s="24"/>
      <c r="Y26" s="24">
        <f t="shared" si="0"/>
        <v>0</v>
      </c>
    </row>
    <row r="27" spans="1:25" s="93" customFormat="1" ht="12.75" customHeight="1" hidden="1">
      <c r="A27" s="23" t="s">
        <v>25</v>
      </c>
      <c r="B27" s="23"/>
      <c r="C27" s="24">
        <f t="shared" si="1"/>
        <v>0</v>
      </c>
      <c r="D27" s="24"/>
      <c r="E27" s="24"/>
      <c r="F27" s="24"/>
      <c r="G27" s="24"/>
      <c r="H27" s="24"/>
      <c r="I27" s="24"/>
      <c r="J27" s="24"/>
      <c r="K27" s="24">
        <f t="shared" si="2"/>
        <v>0</v>
      </c>
      <c r="L27" s="24"/>
      <c r="M27" s="24"/>
      <c r="N27" s="24"/>
      <c r="O27" s="24"/>
      <c r="P27" s="24"/>
      <c r="Q27" s="24"/>
      <c r="R27" s="24"/>
      <c r="S27" s="24">
        <f>W27-U27-Q27</f>
        <v>0</v>
      </c>
      <c r="T27" s="24"/>
      <c r="U27" s="24"/>
      <c r="V27" s="24"/>
      <c r="W27" s="24"/>
      <c r="X27" s="24"/>
      <c r="Y27" s="24">
        <f t="shared" si="0"/>
        <v>0</v>
      </c>
    </row>
    <row r="28" spans="1:25" s="93" customFormat="1" ht="12.75" customHeight="1" hidden="1">
      <c r="A28" s="131" t="s">
        <v>250</v>
      </c>
      <c r="B28" s="23"/>
      <c r="C28" s="24">
        <f>+I28-E28-G28</f>
        <v>17688818</v>
      </c>
      <c r="D28" s="24"/>
      <c r="E28" s="24"/>
      <c r="F28" s="24"/>
      <c r="G28" s="24"/>
      <c r="H28" s="24"/>
      <c r="I28" s="24">
        <v>17688818</v>
      </c>
      <c r="J28" s="24"/>
      <c r="K28" s="24">
        <f>+O28-M28</f>
        <v>0</v>
      </c>
      <c r="L28" s="24"/>
      <c r="M28" s="24"/>
      <c r="N28" s="24"/>
      <c r="O28" s="24"/>
      <c r="P28" s="24"/>
      <c r="Q28" s="24"/>
      <c r="R28" s="24"/>
      <c r="S28" s="24">
        <f>W28-U28-Q28</f>
        <v>13661841</v>
      </c>
      <c r="T28" s="24"/>
      <c r="U28" s="24">
        <v>4026977</v>
      </c>
      <c r="V28" s="24"/>
      <c r="W28" s="24">
        <v>17688818</v>
      </c>
      <c r="X28" s="24"/>
      <c r="Y28" s="24">
        <f>I28-O28-W28</f>
        <v>0</v>
      </c>
    </row>
    <row r="29" spans="1:25" s="93" customFormat="1" ht="12.75" customHeight="1">
      <c r="A29" s="23" t="s">
        <v>27</v>
      </c>
      <c r="B29" s="23"/>
      <c r="C29" s="24">
        <f t="shared" si="1"/>
        <v>40961261</v>
      </c>
      <c r="D29" s="24"/>
      <c r="E29" s="24">
        <v>60886002</v>
      </c>
      <c r="F29" s="24"/>
      <c r="G29" s="24">
        <v>0</v>
      </c>
      <c r="H29" s="24"/>
      <c r="I29" s="24">
        <v>101847263</v>
      </c>
      <c r="J29" s="24"/>
      <c r="K29" s="24">
        <f t="shared" si="2"/>
        <v>8264711</v>
      </c>
      <c r="L29" s="24"/>
      <c r="M29" s="24">
        <v>7927540</v>
      </c>
      <c r="N29" s="24"/>
      <c r="O29" s="24">
        <v>16192251</v>
      </c>
      <c r="P29" s="24"/>
      <c r="Q29" s="24">
        <v>58872363</v>
      </c>
      <c r="R29" s="24"/>
      <c r="S29" s="24">
        <f t="shared" si="3"/>
        <v>13964868</v>
      </c>
      <c r="T29" s="24"/>
      <c r="U29" s="24">
        <v>12817781</v>
      </c>
      <c r="V29" s="24"/>
      <c r="W29" s="24">
        <v>85655012</v>
      </c>
      <c r="X29" s="24"/>
      <c r="Y29" s="24">
        <f aca="true" t="shared" si="4" ref="Y29:Y93">I29-O29-W29</f>
        <v>0</v>
      </c>
    </row>
    <row r="30" spans="1:25" s="93" customFormat="1" ht="12.75" customHeight="1">
      <c r="A30" s="23" t="s">
        <v>28</v>
      </c>
      <c r="B30" s="23"/>
      <c r="C30" s="24">
        <f t="shared" si="1"/>
        <v>142011957</v>
      </c>
      <c r="D30" s="24"/>
      <c r="E30" s="24">
        <f>37296666+145757539</f>
        <v>183054205</v>
      </c>
      <c r="F30" s="24"/>
      <c r="G30" s="24">
        <v>0</v>
      </c>
      <c r="H30" s="24"/>
      <c r="I30" s="24">
        <v>325066162</v>
      </c>
      <c r="J30" s="24"/>
      <c r="K30" s="24">
        <f t="shared" si="2"/>
        <v>33664237</v>
      </c>
      <c r="L30" s="24"/>
      <c r="M30" s="24">
        <v>39833559</v>
      </c>
      <c r="N30" s="24"/>
      <c r="O30" s="24">
        <v>73497796</v>
      </c>
      <c r="P30" s="24"/>
      <c r="Q30" s="24">
        <v>144086249</v>
      </c>
      <c r="R30" s="24"/>
      <c r="S30" s="24">
        <f t="shared" si="3"/>
        <v>65804485</v>
      </c>
      <c r="T30" s="24"/>
      <c r="U30" s="24">
        <v>41677632</v>
      </c>
      <c r="V30" s="24"/>
      <c r="W30" s="24">
        <v>251568366</v>
      </c>
      <c r="X30" s="24"/>
      <c r="Y30" s="24">
        <f t="shared" si="4"/>
        <v>0</v>
      </c>
    </row>
    <row r="31" spans="1:25" s="93" customFormat="1" ht="12.75" customHeight="1">
      <c r="A31" s="23" t="s">
        <v>29</v>
      </c>
      <c r="B31" s="23"/>
      <c r="C31" s="24">
        <f t="shared" si="1"/>
        <v>59981601</v>
      </c>
      <c r="D31" s="24"/>
      <c r="E31" s="24">
        <f>3675250+57792656</f>
        <v>61467906</v>
      </c>
      <c r="F31" s="24"/>
      <c r="G31" s="24">
        <v>0</v>
      </c>
      <c r="H31" s="24"/>
      <c r="I31" s="24">
        <v>121449507</v>
      </c>
      <c r="J31" s="24"/>
      <c r="K31" s="24">
        <f t="shared" si="2"/>
        <v>21053774</v>
      </c>
      <c r="L31" s="24"/>
      <c r="M31" s="24">
        <v>16795357</v>
      </c>
      <c r="N31" s="24"/>
      <c r="O31" s="24">
        <v>37849131</v>
      </c>
      <c r="P31" s="24"/>
      <c r="Q31" s="24">
        <v>43629049</v>
      </c>
      <c r="R31" s="24"/>
      <c r="S31" s="24">
        <f t="shared" si="3"/>
        <v>26983401</v>
      </c>
      <c r="T31" s="24"/>
      <c r="U31" s="24">
        <v>12987926</v>
      </c>
      <c r="V31" s="24"/>
      <c r="W31" s="24">
        <v>83600376</v>
      </c>
      <c r="X31" s="24"/>
      <c r="Y31" s="24">
        <f t="shared" si="4"/>
        <v>0</v>
      </c>
    </row>
    <row r="32" spans="1:25" s="93" customFormat="1" ht="12.75" customHeight="1">
      <c r="A32" s="23" t="s">
        <v>30</v>
      </c>
      <c r="B32" s="23"/>
      <c r="C32" s="24">
        <f t="shared" si="1"/>
        <v>101276175</v>
      </c>
      <c r="D32" s="24"/>
      <c r="E32" s="24">
        <f>7748092+169336837</f>
        <v>177084929</v>
      </c>
      <c r="F32" s="24"/>
      <c r="G32" s="24">
        <v>0</v>
      </c>
      <c r="H32" s="24"/>
      <c r="I32" s="24">
        <v>278361104</v>
      </c>
      <c r="J32" s="24"/>
      <c r="K32" s="24">
        <f t="shared" si="2"/>
        <v>33931534</v>
      </c>
      <c r="L32" s="24"/>
      <c r="M32" s="24">
        <v>16790407</v>
      </c>
      <c r="N32" s="24"/>
      <c r="O32" s="24">
        <v>50721941</v>
      </c>
      <c r="P32" s="24"/>
      <c r="Q32" s="24">
        <v>162697179</v>
      </c>
      <c r="R32" s="24"/>
      <c r="S32" s="24">
        <f t="shared" si="3"/>
        <v>47549912</v>
      </c>
      <c r="T32" s="24"/>
      <c r="U32" s="24">
        <v>17392072</v>
      </c>
      <c r="V32" s="24"/>
      <c r="W32" s="24">
        <v>227639163</v>
      </c>
      <c r="X32" s="24"/>
      <c r="Y32" s="24">
        <f t="shared" si="4"/>
        <v>0</v>
      </c>
    </row>
    <row r="33" spans="1:25" s="93" customFormat="1" ht="12.75" customHeight="1" hidden="1">
      <c r="A33" s="23" t="s">
        <v>237</v>
      </c>
      <c r="B33" s="23"/>
      <c r="C33" s="24">
        <f t="shared" si="1"/>
        <v>15156542</v>
      </c>
      <c r="D33" s="24"/>
      <c r="E33" s="24"/>
      <c r="F33" s="24"/>
      <c r="G33" s="24"/>
      <c r="H33" s="24"/>
      <c r="I33" s="24">
        <v>15156542</v>
      </c>
      <c r="J33" s="24"/>
      <c r="K33" s="24">
        <f t="shared" si="2"/>
        <v>0</v>
      </c>
      <c r="L33" s="24"/>
      <c r="M33" s="24"/>
      <c r="N33" s="24"/>
      <c r="O33" s="24"/>
      <c r="P33" s="24"/>
      <c r="Q33" s="24"/>
      <c r="R33" s="24"/>
      <c r="S33" s="24">
        <f t="shared" si="3"/>
        <v>11071999</v>
      </c>
      <c r="T33" s="24"/>
      <c r="U33" s="24">
        <v>4084543</v>
      </c>
      <c r="V33" s="24"/>
      <c r="W33" s="24">
        <v>15156542</v>
      </c>
      <c r="X33" s="24"/>
      <c r="Y33" s="24">
        <f t="shared" si="4"/>
        <v>0</v>
      </c>
    </row>
    <row r="34" spans="1:25" s="93" customFormat="1" ht="12.75" customHeight="1">
      <c r="A34" s="23" t="s">
        <v>32</v>
      </c>
      <c r="B34" s="23"/>
      <c r="C34" s="24">
        <f t="shared" si="1"/>
        <v>1398468000</v>
      </c>
      <c r="D34" s="24"/>
      <c r="E34" s="24">
        <f>97046000+598198000</f>
        <v>695244000</v>
      </c>
      <c r="F34" s="24"/>
      <c r="G34" s="24">
        <v>1969000</v>
      </c>
      <c r="H34" s="24"/>
      <c r="I34" s="24">
        <v>2095681000</v>
      </c>
      <c r="J34" s="24"/>
      <c r="K34" s="24">
        <f t="shared" si="2"/>
        <v>520275000</v>
      </c>
      <c r="L34" s="24"/>
      <c r="M34" s="24">
        <v>361955000</v>
      </c>
      <c r="N34" s="24"/>
      <c r="O34" s="24">
        <v>882230000</v>
      </c>
      <c r="P34" s="24"/>
      <c r="Q34" s="24">
        <v>371504000</v>
      </c>
      <c r="R34" s="24"/>
      <c r="S34" s="24">
        <f t="shared" si="3"/>
        <v>601905000</v>
      </c>
      <c r="T34" s="24"/>
      <c r="U34" s="24">
        <v>240042000</v>
      </c>
      <c r="V34" s="24"/>
      <c r="W34" s="24">
        <v>1213451000</v>
      </c>
      <c r="X34" s="24"/>
      <c r="Y34" s="24">
        <f t="shared" si="4"/>
        <v>0</v>
      </c>
    </row>
    <row r="35" spans="1:25" s="93" customFormat="1" ht="12.75" customHeight="1">
      <c r="A35" s="23" t="s">
        <v>33</v>
      </c>
      <c r="B35" s="23"/>
      <c r="C35" s="24">
        <f t="shared" si="1"/>
        <v>43121987</v>
      </c>
      <c r="D35" s="24"/>
      <c r="E35" s="24">
        <v>44392288</v>
      </c>
      <c r="F35" s="24"/>
      <c r="G35" s="24">
        <v>0</v>
      </c>
      <c r="H35" s="24"/>
      <c r="I35" s="24">
        <v>87514275</v>
      </c>
      <c r="J35" s="24"/>
      <c r="K35" s="24">
        <f t="shared" si="2"/>
        <v>9021998</v>
      </c>
      <c r="L35" s="24"/>
      <c r="M35" s="24">
        <v>2119330</v>
      </c>
      <c r="N35" s="24"/>
      <c r="O35" s="24">
        <v>11141328</v>
      </c>
      <c r="P35" s="24"/>
      <c r="Q35" s="24">
        <v>42693161</v>
      </c>
      <c r="R35" s="24"/>
      <c r="S35" s="24">
        <f t="shared" si="3"/>
        <v>26939079</v>
      </c>
      <c r="T35" s="24"/>
      <c r="U35" s="24">
        <v>6740707</v>
      </c>
      <c r="V35" s="24"/>
      <c r="W35" s="24">
        <v>76372947</v>
      </c>
      <c r="X35" s="24"/>
      <c r="Y35" s="24">
        <f t="shared" si="4"/>
        <v>0</v>
      </c>
    </row>
    <row r="36" spans="1:25" s="93" customFormat="1" ht="12.75" customHeight="1">
      <c r="A36" s="23" t="s">
        <v>34</v>
      </c>
      <c r="B36" s="23"/>
      <c r="C36" s="24">
        <f t="shared" si="1"/>
        <v>16401601</v>
      </c>
      <c r="D36" s="24"/>
      <c r="E36" s="24">
        <f>152922067+9158898</f>
        <v>162080965</v>
      </c>
      <c r="F36" s="24"/>
      <c r="G36" s="24">
        <v>0</v>
      </c>
      <c r="H36" s="24"/>
      <c r="I36" s="24">
        <v>178482566</v>
      </c>
      <c r="J36" s="24"/>
      <c r="K36" s="24">
        <f t="shared" si="2"/>
        <v>5888887</v>
      </c>
      <c r="L36" s="24"/>
      <c r="M36" s="24">
        <v>2708744</v>
      </c>
      <c r="N36" s="24"/>
      <c r="O36" s="24">
        <v>8597631</v>
      </c>
      <c r="P36" s="24"/>
      <c r="Q36" s="24">
        <v>159796889</v>
      </c>
      <c r="R36" s="24"/>
      <c r="S36" s="24">
        <f t="shared" si="3"/>
        <v>8347577</v>
      </c>
      <c r="T36" s="24"/>
      <c r="U36" s="24">
        <v>1740469</v>
      </c>
      <c r="V36" s="24"/>
      <c r="W36" s="24">
        <v>169884935</v>
      </c>
      <c r="X36" s="24"/>
      <c r="Y36" s="24">
        <f t="shared" si="4"/>
        <v>0</v>
      </c>
    </row>
    <row r="37" spans="1:25" s="93" customFormat="1" ht="12.75" customHeight="1">
      <c r="A37" s="23" t="s">
        <v>35</v>
      </c>
      <c r="B37" s="23"/>
      <c r="C37" s="24">
        <f t="shared" si="1"/>
        <v>81383795</v>
      </c>
      <c r="D37" s="24"/>
      <c r="E37" s="24">
        <f>131260481+37225154</f>
        <v>168485635</v>
      </c>
      <c r="F37" s="24"/>
      <c r="G37" s="24">
        <v>0</v>
      </c>
      <c r="H37" s="24"/>
      <c r="I37" s="24">
        <v>249869430</v>
      </c>
      <c r="J37" s="24"/>
      <c r="K37" s="24">
        <f t="shared" si="2"/>
        <v>31110500</v>
      </c>
      <c r="L37" s="24"/>
      <c r="M37" s="24">
        <v>4056369</v>
      </c>
      <c r="N37" s="24"/>
      <c r="O37" s="24">
        <v>35166869</v>
      </c>
      <c r="P37" s="24"/>
      <c r="Q37" s="24">
        <v>165455274</v>
      </c>
      <c r="R37" s="24"/>
      <c r="S37" s="24">
        <f t="shared" si="3"/>
        <v>37104141</v>
      </c>
      <c r="T37" s="24"/>
      <c r="U37" s="24">
        <v>12143146</v>
      </c>
      <c r="V37" s="24"/>
      <c r="W37" s="24">
        <v>214702561</v>
      </c>
      <c r="X37" s="24"/>
      <c r="Y37" s="24">
        <f t="shared" si="4"/>
        <v>0</v>
      </c>
    </row>
    <row r="38" spans="1:25" s="93" customFormat="1" ht="12.75" customHeight="1">
      <c r="A38" s="23" t="s">
        <v>181</v>
      </c>
      <c r="B38" s="23"/>
      <c r="C38" s="24">
        <f t="shared" si="1"/>
        <v>143578815</v>
      </c>
      <c r="D38" s="24"/>
      <c r="E38" s="24">
        <f>27459923+132516510</f>
        <v>159976433</v>
      </c>
      <c r="F38" s="24"/>
      <c r="G38" s="24">
        <v>0</v>
      </c>
      <c r="H38" s="24"/>
      <c r="I38" s="24">
        <v>303555248</v>
      </c>
      <c r="J38" s="24"/>
      <c r="K38" s="24">
        <f t="shared" si="2"/>
        <v>54928190</v>
      </c>
      <c r="L38" s="24"/>
      <c r="M38" s="24">
        <v>31269095</v>
      </c>
      <c r="N38" s="24"/>
      <c r="O38" s="24">
        <v>86197285</v>
      </c>
      <c r="P38" s="24"/>
      <c r="Q38" s="24">
        <v>133362088</v>
      </c>
      <c r="R38" s="24"/>
      <c r="S38" s="24">
        <f t="shared" si="3"/>
        <v>59398974</v>
      </c>
      <c r="T38" s="24"/>
      <c r="U38" s="24">
        <v>24596901</v>
      </c>
      <c r="V38" s="24"/>
      <c r="W38" s="24">
        <v>217357963</v>
      </c>
      <c r="X38" s="24"/>
      <c r="Y38" s="24">
        <f t="shared" si="4"/>
        <v>0</v>
      </c>
    </row>
    <row r="39" spans="1:25" s="93" customFormat="1" ht="12.75" customHeight="1" hidden="1">
      <c r="A39" s="23" t="s">
        <v>242</v>
      </c>
      <c r="B39" s="23"/>
      <c r="C39" s="24">
        <f t="shared" si="1"/>
        <v>0</v>
      </c>
      <c r="D39" s="24"/>
      <c r="E39" s="24"/>
      <c r="F39" s="24"/>
      <c r="G39" s="24"/>
      <c r="H39" s="24"/>
      <c r="I39" s="24"/>
      <c r="J39" s="24"/>
      <c r="K39" s="24">
        <f t="shared" si="2"/>
        <v>0</v>
      </c>
      <c r="L39" s="24"/>
      <c r="M39" s="24"/>
      <c r="N39" s="24"/>
      <c r="O39" s="24"/>
      <c r="P39" s="24"/>
      <c r="Q39" s="24"/>
      <c r="R39" s="24"/>
      <c r="S39" s="24">
        <f t="shared" si="3"/>
        <v>0</v>
      </c>
      <c r="T39" s="24"/>
      <c r="U39" s="24"/>
      <c r="V39" s="24"/>
      <c r="W39" s="24"/>
      <c r="X39" s="24"/>
      <c r="Y39" s="24">
        <f t="shared" si="4"/>
        <v>0</v>
      </c>
    </row>
    <row r="40" spans="1:25" s="93" customFormat="1" ht="12.75" customHeight="1" hidden="1">
      <c r="A40" s="23" t="s">
        <v>37</v>
      </c>
      <c r="B40" s="23"/>
      <c r="C40" s="24">
        <f>+I40-E40-G40</f>
        <v>0</v>
      </c>
      <c r="D40" s="24"/>
      <c r="E40" s="24"/>
      <c r="F40" s="24"/>
      <c r="G40" s="24"/>
      <c r="H40" s="24"/>
      <c r="I40" s="24"/>
      <c r="J40" s="24"/>
      <c r="K40" s="24">
        <f t="shared" si="2"/>
        <v>0</v>
      </c>
      <c r="L40" s="24"/>
      <c r="M40" s="24"/>
      <c r="N40" s="24"/>
      <c r="O40" s="24"/>
      <c r="P40" s="24"/>
      <c r="Q40" s="24"/>
      <c r="R40" s="24"/>
      <c r="S40" s="24">
        <f t="shared" si="3"/>
        <v>0</v>
      </c>
      <c r="T40" s="24"/>
      <c r="U40" s="24"/>
      <c r="V40" s="24"/>
      <c r="W40" s="24"/>
      <c r="X40" s="24"/>
      <c r="Y40" s="24">
        <f t="shared" si="4"/>
        <v>0</v>
      </c>
    </row>
    <row r="41" spans="1:25" s="93" customFormat="1" ht="12.75" customHeight="1">
      <c r="A41" s="23" t="s">
        <v>38</v>
      </c>
      <c r="B41" s="23"/>
      <c r="C41" s="24">
        <f t="shared" si="1"/>
        <v>62347382</v>
      </c>
      <c r="D41" s="24"/>
      <c r="E41" s="24">
        <v>102489059</v>
      </c>
      <c r="F41" s="24"/>
      <c r="G41" s="24">
        <v>0</v>
      </c>
      <c r="H41" s="24"/>
      <c r="I41" s="24">
        <v>164836441</v>
      </c>
      <c r="J41" s="24"/>
      <c r="K41" s="24">
        <f t="shared" si="2"/>
        <v>16356434</v>
      </c>
      <c r="L41" s="24"/>
      <c r="M41" s="24">
        <v>11791104</v>
      </c>
      <c r="N41" s="24"/>
      <c r="O41" s="24">
        <v>28147538</v>
      </c>
      <c r="P41" s="24"/>
      <c r="Q41" s="24">
        <v>93088587</v>
      </c>
      <c r="R41" s="24"/>
      <c r="S41" s="24">
        <f t="shared" si="3"/>
        <v>30814414</v>
      </c>
      <c r="T41" s="24"/>
      <c r="U41" s="24">
        <v>12785902</v>
      </c>
      <c r="V41" s="24"/>
      <c r="W41" s="24">
        <v>136688903</v>
      </c>
      <c r="X41" s="24"/>
      <c r="Y41" s="24">
        <f t="shared" si="4"/>
        <v>0</v>
      </c>
    </row>
    <row r="42" spans="1:25" s="93" customFormat="1" ht="12.75" customHeight="1" hidden="1">
      <c r="A42" s="23" t="s">
        <v>167</v>
      </c>
      <c r="B42" s="23"/>
      <c r="C42" s="24">
        <f t="shared" si="1"/>
        <v>0</v>
      </c>
      <c r="D42" s="24"/>
      <c r="E42" s="24"/>
      <c r="F42" s="24"/>
      <c r="G42" s="24"/>
      <c r="H42" s="24"/>
      <c r="I42" s="24"/>
      <c r="J42" s="24"/>
      <c r="K42" s="24">
        <f t="shared" si="2"/>
        <v>0</v>
      </c>
      <c r="L42" s="24"/>
      <c r="M42" s="24"/>
      <c r="N42" s="24"/>
      <c r="O42" s="24"/>
      <c r="P42" s="24"/>
      <c r="Q42" s="24"/>
      <c r="R42" s="24"/>
      <c r="S42" s="24">
        <f t="shared" si="3"/>
        <v>0</v>
      </c>
      <c r="T42" s="24"/>
      <c r="U42" s="24"/>
      <c r="V42" s="24"/>
      <c r="W42" s="24"/>
      <c r="X42" s="24"/>
      <c r="Y42" s="24">
        <f t="shared" si="4"/>
        <v>0</v>
      </c>
    </row>
    <row r="43" spans="1:25" s="93" customFormat="1" ht="12.75" customHeight="1" hidden="1">
      <c r="A43" s="23" t="s">
        <v>39</v>
      </c>
      <c r="B43" s="23"/>
      <c r="C43" s="24">
        <f t="shared" si="1"/>
        <v>0</v>
      </c>
      <c r="D43" s="24"/>
      <c r="E43" s="24"/>
      <c r="F43" s="24"/>
      <c r="G43" s="24"/>
      <c r="H43" s="24"/>
      <c r="I43" s="24"/>
      <c r="J43" s="24"/>
      <c r="K43" s="24">
        <f t="shared" si="2"/>
        <v>0</v>
      </c>
      <c r="L43" s="24"/>
      <c r="M43" s="24"/>
      <c r="N43" s="24"/>
      <c r="O43" s="24"/>
      <c r="P43" s="24"/>
      <c r="Q43" s="24"/>
      <c r="R43" s="24"/>
      <c r="S43" s="24">
        <f t="shared" si="3"/>
        <v>0</v>
      </c>
      <c r="T43" s="24"/>
      <c r="U43" s="24"/>
      <c r="V43" s="24"/>
      <c r="W43" s="24"/>
      <c r="X43" s="24"/>
      <c r="Y43" s="24">
        <f t="shared" si="4"/>
        <v>0</v>
      </c>
    </row>
    <row r="44" spans="1:25" s="93" customFormat="1" ht="12.75" customHeight="1">
      <c r="A44" s="23" t="s">
        <v>40</v>
      </c>
      <c r="B44" s="23"/>
      <c r="C44" s="24">
        <f>+I44-E44-G44</f>
        <v>30442671</v>
      </c>
      <c r="D44" s="24"/>
      <c r="E44" s="24">
        <v>35743175</v>
      </c>
      <c r="F44" s="24"/>
      <c r="G44" s="24">
        <v>0</v>
      </c>
      <c r="H44" s="24"/>
      <c r="I44" s="24">
        <v>66185846</v>
      </c>
      <c r="J44" s="24"/>
      <c r="K44" s="24">
        <f t="shared" si="2"/>
        <v>7531777</v>
      </c>
      <c r="L44" s="24"/>
      <c r="M44" s="24">
        <v>1215486</v>
      </c>
      <c r="N44" s="24"/>
      <c r="O44" s="24">
        <v>8747263</v>
      </c>
      <c r="P44" s="24"/>
      <c r="Q44" s="24">
        <v>35498394</v>
      </c>
      <c r="R44" s="24"/>
      <c r="S44" s="24">
        <f t="shared" si="3"/>
        <v>15852783</v>
      </c>
      <c r="T44" s="24"/>
      <c r="U44" s="24">
        <v>6087406</v>
      </c>
      <c r="V44" s="24"/>
      <c r="W44" s="24">
        <v>57438583</v>
      </c>
      <c r="X44" s="24"/>
      <c r="Y44" s="24">
        <f t="shared" si="4"/>
        <v>0</v>
      </c>
    </row>
    <row r="45" spans="1:25" s="93" customFormat="1" ht="12.75" customHeight="1" hidden="1">
      <c r="A45" s="23" t="s">
        <v>41</v>
      </c>
      <c r="B45" s="23"/>
      <c r="C45" s="24">
        <f t="shared" si="1"/>
        <v>0</v>
      </c>
      <c r="D45" s="24"/>
      <c r="E45" s="24"/>
      <c r="F45" s="24"/>
      <c r="G45" s="24"/>
      <c r="H45" s="24"/>
      <c r="I45" s="24"/>
      <c r="J45" s="24"/>
      <c r="K45" s="24">
        <f t="shared" si="2"/>
        <v>0</v>
      </c>
      <c r="L45" s="24"/>
      <c r="M45" s="24"/>
      <c r="N45" s="24"/>
      <c r="O45" s="24"/>
      <c r="P45" s="24"/>
      <c r="Q45" s="24"/>
      <c r="R45" s="24"/>
      <c r="S45" s="24">
        <f t="shared" si="3"/>
        <v>0</v>
      </c>
      <c r="T45" s="24"/>
      <c r="U45" s="24"/>
      <c r="V45" s="24"/>
      <c r="W45" s="24"/>
      <c r="X45" s="24"/>
      <c r="Y45" s="24">
        <f t="shared" si="4"/>
        <v>0</v>
      </c>
    </row>
    <row r="46" spans="1:25" s="93" customFormat="1" ht="12.75" customHeight="1">
      <c r="A46" s="23" t="s">
        <v>42</v>
      </c>
      <c r="B46" s="23"/>
      <c r="C46" s="143">
        <f t="shared" si="1"/>
        <v>22031524</v>
      </c>
      <c r="D46" s="143"/>
      <c r="E46" s="24">
        <f>811350+22790997</f>
        <v>23602347</v>
      </c>
      <c r="F46" s="143"/>
      <c r="G46" s="24">
        <v>0</v>
      </c>
      <c r="H46" s="143"/>
      <c r="I46" s="24">
        <v>45633871</v>
      </c>
      <c r="J46" s="143"/>
      <c r="K46" s="143">
        <f t="shared" si="2"/>
        <v>6805523</v>
      </c>
      <c r="L46" s="143"/>
      <c r="M46" s="24">
        <v>1425087</v>
      </c>
      <c r="N46" s="143"/>
      <c r="O46" s="24">
        <v>8230610</v>
      </c>
      <c r="P46" s="143"/>
      <c r="Q46" s="24">
        <v>22844459</v>
      </c>
      <c r="R46" s="143"/>
      <c r="S46" s="143">
        <f t="shared" si="3"/>
        <v>11268489</v>
      </c>
      <c r="T46" s="143"/>
      <c r="U46" s="24">
        <v>3290313</v>
      </c>
      <c r="V46" s="143"/>
      <c r="W46" s="24">
        <v>37403261</v>
      </c>
      <c r="X46" s="143"/>
      <c r="Y46" s="143">
        <f t="shared" si="4"/>
        <v>0</v>
      </c>
    </row>
    <row r="47" spans="1:25" s="93" customFormat="1" ht="12.75" customHeight="1">
      <c r="A47" s="23" t="s">
        <v>43</v>
      </c>
      <c r="B47" s="23"/>
      <c r="C47" s="143">
        <f t="shared" si="1"/>
        <v>25445615</v>
      </c>
      <c r="D47" s="143"/>
      <c r="E47" s="24">
        <v>25425000</v>
      </c>
      <c r="F47" s="143"/>
      <c r="G47" s="24">
        <v>0</v>
      </c>
      <c r="H47" s="143"/>
      <c r="I47" s="24">
        <v>50870615</v>
      </c>
      <c r="J47" s="143"/>
      <c r="K47" s="143">
        <f t="shared" si="2"/>
        <v>8202374</v>
      </c>
      <c r="L47" s="143"/>
      <c r="M47" s="24">
        <v>9914106</v>
      </c>
      <c r="N47" s="143"/>
      <c r="O47" s="24">
        <v>18116480</v>
      </c>
      <c r="P47" s="143"/>
      <c r="Q47" s="24">
        <v>22702557</v>
      </c>
      <c r="R47" s="143"/>
      <c r="S47" s="143">
        <f t="shared" si="3"/>
        <v>13568078</v>
      </c>
      <c r="T47" s="143"/>
      <c r="U47" s="24">
        <v>-3516500</v>
      </c>
      <c r="V47" s="143"/>
      <c r="W47" s="24">
        <v>32754135</v>
      </c>
      <c r="X47" s="143"/>
      <c r="Y47" s="143">
        <f t="shared" si="4"/>
        <v>0</v>
      </c>
    </row>
    <row r="48" spans="1:25" s="93" customFormat="1" ht="12.75" customHeight="1">
      <c r="A48" s="23" t="s">
        <v>44</v>
      </c>
      <c r="B48" s="23"/>
      <c r="C48" s="143">
        <f t="shared" si="1"/>
        <v>26756314</v>
      </c>
      <c r="D48" s="143"/>
      <c r="E48" s="24">
        <f>1717352+36154366</f>
        <v>37871718</v>
      </c>
      <c r="F48" s="143"/>
      <c r="G48" s="24">
        <v>0</v>
      </c>
      <c r="H48" s="143"/>
      <c r="I48" s="24">
        <v>64628032</v>
      </c>
      <c r="J48" s="143"/>
      <c r="K48" s="143">
        <f t="shared" si="2"/>
        <v>8805147</v>
      </c>
      <c r="L48" s="143"/>
      <c r="M48" s="24">
        <v>8325547</v>
      </c>
      <c r="N48" s="143"/>
      <c r="O48" s="24">
        <v>17130694</v>
      </c>
      <c r="P48" s="143"/>
      <c r="Q48" s="24">
        <v>31075718</v>
      </c>
      <c r="R48" s="143"/>
      <c r="S48" s="143">
        <f t="shared" si="3"/>
        <v>12961940</v>
      </c>
      <c r="T48" s="143"/>
      <c r="U48" s="24">
        <v>3459680</v>
      </c>
      <c r="V48" s="143"/>
      <c r="W48" s="24">
        <v>47497338</v>
      </c>
      <c r="X48" s="143"/>
      <c r="Y48" s="143">
        <f>I48-O48-W48</f>
        <v>0</v>
      </c>
    </row>
    <row r="49" spans="1:25" s="93" customFormat="1" ht="12.75" customHeight="1" hidden="1">
      <c r="A49" s="23" t="s">
        <v>239</v>
      </c>
      <c r="B49" s="23"/>
      <c r="C49" s="143">
        <f t="shared" si="1"/>
        <v>0</v>
      </c>
      <c r="D49" s="143"/>
      <c r="E49" s="24"/>
      <c r="F49" s="143"/>
      <c r="G49" s="24"/>
      <c r="H49" s="143"/>
      <c r="I49" s="24"/>
      <c r="J49" s="143"/>
      <c r="K49" s="143">
        <f t="shared" si="2"/>
        <v>0</v>
      </c>
      <c r="L49" s="143"/>
      <c r="M49" s="24"/>
      <c r="N49" s="143"/>
      <c r="O49" s="24"/>
      <c r="P49" s="143"/>
      <c r="Q49" s="24"/>
      <c r="R49" s="143"/>
      <c r="S49" s="143">
        <f t="shared" si="3"/>
        <v>0</v>
      </c>
      <c r="T49" s="143"/>
      <c r="U49" s="24"/>
      <c r="V49" s="143"/>
      <c r="W49" s="24"/>
      <c r="X49" s="143"/>
      <c r="Y49" s="143">
        <f t="shared" si="4"/>
        <v>0</v>
      </c>
    </row>
    <row r="50" spans="1:25" s="93" customFormat="1" ht="12.75" customHeight="1">
      <c r="A50" s="23" t="s">
        <v>46</v>
      </c>
      <c r="B50" s="23"/>
      <c r="C50" s="143">
        <f t="shared" si="1"/>
        <v>53435807</v>
      </c>
      <c r="D50" s="143"/>
      <c r="E50" s="24">
        <f>5539714+93134926</f>
        <v>98674640</v>
      </c>
      <c r="F50" s="143"/>
      <c r="G50" s="24">
        <v>153596</v>
      </c>
      <c r="H50" s="143"/>
      <c r="I50" s="24">
        <v>152264043</v>
      </c>
      <c r="J50" s="143"/>
      <c r="K50" s="143">
        <f t="shared" si="2"/>
        <v>16328944</v>
      </c>
      <c r="L50" s="143"/>
      <c r="M50" s="24">
        <v>20567264</v>
      </c>
      <c r="N50" s="143"/>
      <c r="O50" s="24">
        <v>36896208</v>
      </c>
      <c r="P50" s="143"/>
      <c r="Q50" s="24">
        <v>78756997</v>
      </c>
      <c r="R50" s="143"/>
      <c r="S50" s="143">
        <f t="shared" si="3"/>
        <v>30875826</v>
      </c>
      <c r="T50" s="143"/>
      <c r="U50" s="24">
        <v>5735012</v>
      </c>
      <c r="V50" s="143"/>
      <c r="W50" s="24">
        <v>115367835</v>
      </c>
      <c r="X50" s="143"/>
      <c r="Y50" s="143">
        <f t="shared" si="4"/>
        <v>0</v>
      </c>
    </row>
    <row r="51" spans="1:27" s="93" customFormat="1" ht="12.75" customHeight="1">
      <c r="A51" s="23" t="s">
        <v>47</v>
      </c>
      <c r="B51" s="23"/>
      <c r="C51" s="143">
        <f t="shared" si="1"/>
        <v>44219556</v>
      </c>
      <c r="D51" s="143"/>
      <c r="E51" s="24">
        <f>4826661+53045860</f>
        <v>57872521</v>
      </c>
      <c r="F51" s="143"/>
      <c r="G51" s="24">
        <v>175052</v>
      </c>
      <c r="H51" s="143"/>
      <c r="I51" s="24">
        <v>102267129</v>
      </c>
      <c r="J51" s="143"/>
      <c r="K51" s="143">
        <f t="shared" si="2"/>
        <v>14200474</v>
      </c>
      <c r="L51" s="143"/>
      <c r="M51" s="24">
        <v>8316608</v>
      </c>
      <c r="N51" s="143"/>
      <c r="O51" s="24">
        <v>22517082</v>
      </c>
      <c r="P51" s="143"/>
      <c r="Q51" s="24">
        <v>50184694</v>
      </c>
      <c r="R51" s="143"/>
      <c r="S51" s="143">
        <f t="shared" si="3"/>
        <v>26284909</v>
      </c>
      <c r="T51" s="143"/>
      <c r="U51" s="24">
        <v>3280444</v>
      </c>
      <c r="V51" s="143"/>
      <c r="W51" s="24">
        <v>79750047</v>
      </c>
      <c r="X51" s="143"/>
      <c r="Y51" s="143">
        <f t="shared" si="4"/>
        <v>0</v>
      </c>
      <c r="AA51" s="93" t="s">
        <v>226</v>
      </c>
    </row>
    <row r="52" spans="1:25" s="93" customFormat="1" ht="12.75" customHeight="1" hidden="1">
      <c r="A52" s="23" t="s">
        <v>48</v>
      </c>
      <c r="B52" s="23"/>
      <c r="C52" s="143">
        <f t="shared" si="1"/>
        <v>0</v>
      </c>
      <c r="D52" s="143"/>
      <c r="E52" s="24"/>
      <c r="F52" s="143"/>
      <c r="G52" s="24"/>
      <c r="H52" s="143"/>
      <c r="I52" s="24"/>
      <c r="J52" s="143"/>
      <c r="K52" s="143">
        <f t="shared" si="2"/>
        <v>0</v>
      </c>
      <c r="L52" s="143"/>
      <c r="M52" s="24"/>
      <c r="N52" s="143"/>
      <c r="O52" s="24"/>
      <c r="P52" s="143"/>
      <c r="Q52" s="24"/>
      <c r="R52" s="143"/>
      <c r="S52" s="143">
        <f t="shared" si="3"/>
        <v>0</v>
      </c>
      <c r="T52" s="143"/>
      <c r="U52" s="24"/>
      <c r="V52" s="143"/>
      <c r="W52" s="24"/>
      <c r="X52" s="143"/>
      <c r="Y52" s="143">
        <f t="shared" si="4"/>
        <v>0</v>
      </c>
    </row>
    <row r="53" spans="1:25" s="93" customFormat="1" ht="12.75" customHeight="1" hidden="1">
      <c r="A53" s="23" t="s">
        <v>234</v>
      </c>
      <c r="B53" s="23"/>
      <c r="C53" s="143">
        <f t="shared" si="1"/>
        <v>0</v>
      </c>
      <c r="D53" s="143"/>
      <c r="E53" s="24"/>
      <c r="F53" s="143"/>
      <c r="G53" s="24"/>
      <c r="H53" s="143"/>
      <c r="I53" s="24"/>
      <c r="J53" s="143"/>
      <c r="K53" s="143">
        <f t="shared" si="2"/>
        <v>0</v>
      </c>
      <c r="L53" s="143"/>
      <c r="M53" s="24"/>
      <c r="N53" s="143"/>
      <c r="O53" s="24"/>
      <c r="P53" s="143"/>
      <c r="Q53" s="24"/>
      <c r="R53" s="143"/>
      <c r="S53" s="143">
        <f t="shared" si="3"/>
        <v>0</v>
      </c>
      <c r="T53" s="143"/>
      <c r="U53" s="24"/>
      <c r="V53" s="143"/>
      <c r="W53" s="24"/>
      <c r="X53" s="143"/>
      <c r="Y53" s="143">
        <f t="shared" si="4"/>
        <v>0</v>
      </c>
    </row>
    <row r="54" spans="1:25" s="93" customFormat="1" ht="12.75" customHeight="1">
      <c r="A54" s="23" t="s">
        <v>49</v>
      </c>
      <c r="B54" s="23"/>
      <c r="C54" s="143">
        <f t="shared" si="1"/>
        <v>86983042</v>
      </c>
      <c r="D54" s="143"/>
      <c r="E54" s="24">
        <f>6878348+54313604</f>
        <v>61191952</v>
      </c>
      <c r="F54" s="143"/>
      <c r="G54" s="24">
        <v>0</v>
      </c>
      <c r="H54" s="143"/>
      <c r="I54" s="24">
        <v>148174994</v>
      </c>
      <c r="J54" s="143"/>
      <c r="K54" s="143">
        <f t="shared" si="2"/>
        <v>35788127</v>
      </c>
      <c r="L54" s="143"/>
      <c r="M54" s="24">
        <v>8500343</v>
      </c>
      <c r="N54" s="143"/>
      <c r="O54" s="24">
        <v>44288470</v>
      </c>
      <c r="P54" s="143"/>
      <c r="Q54" s="24">
        <v>53703886</v>
      </c>
      <c r="R54" s="143"/>
      <c r="S54" s="143">
        <f t="shared" si="3"/>
        <v>28749691</v>
      </c>
      <c r="T54" s="143"/>
      <c r="U54" s="24">
        <v>21432947</v>
      </c>
      <c r="V54" s="143"/>
      <c r="W54" s="24">
        <v>103886524</v>
      </c>
      <c r="X54" s="143"/>
      <c r="Y54" s="143">
        <f>I54-O54-W54</f>
        <v>0</v>
      </c>
    </row>
    <row r="55" spans="1:25" s="93" customFormat="1" ht="12.75" customHeight="1">
      <c r="A55" s="23" t="s">
        <v>50</v>
      </c>
      <c r="B55" s="23"/>
      <c r="C55" s="143">
        <f t="shared" si="1"/>
        <v>29649544</v>
      </c>
      <c r="D55" s="143"/>
      <c r="E55" s="24">
        <f>3951674+65623735</f>
        <v>69575409</v>
      </c>
      <c r="F55" s="143"/>
      <c r="G55" s="24">
        <v>0</v>
      </c>
      <c r="H55" s="143"/>
      <c r="I55" s="24">
        <v>99224953</v>
      </c>
      <c r="J55" s="143"/>
      <c r="K55" s="143">
        <f t="shared" si="2"/>
        <v>12363827</v>
      </c>
      <c r="L55" s="143"/>
      <c r="M55" s="24">
        <v>5174241</v>
      </c>
      <c r="N55" s="143"/>
      <c r="O55" s="24">
        <v>17538068</v>
      </c>
      <c r="P55" s="143"/>
      <c r="Q55" s="24">
        <v>61431534</v>
      </c>
      <c r="R55" s="143"/>
      <c r="S55" s="143">
        <f t="shared" si="3"/>
        <v>16554241</v>
      </c>
      <c r="T55" s="143"/>
      <c r="U55" s="24">
        <v>3701110</v>
      </c>
      <c r="V55" s="143"/>
      <c r="W55" s="24">
        <v>81686885</v>
      </c>
      <c r="X55" s="143"/>
      <c r="Y55" s="143">
        <f t="shared" si="4"/>
        <v>0</v>
      </c>
    </row>
    <row r="56" spans="1:25" s="93" customFormat="1" ht="12.75" customHeight="1">
      <c r="A56" s="23" t="s">
        <v>244</v>
      </c>
      <c r="B56" s="23"/>
      <c r="C56" s="143">
        <f t="shared" si="1"/>
        <v>212759300</v>
      </c>
      <c r="D56" s="143"/>
      <c r="E56" s="24">
        <f>5812177+128588926</f>
        <v>134401103</v>
      </c>
      <c r="F56" s="143"/>
      <c r="G56" s="24">
        <v>0</v>
      </c>
      <c r="H56" s="143"/>
      <c r="I56" s="24">
        <v>347160403</v>
      </c>
      <c r="J56" s="143"/>
      <c r="K56" s="143">
        <f t="shared" si="2"/>
        <v>76055250</v>
      </c>
      <c r="L56" s="143"/>
      <c r="M56" s="24">
        <v>35625800</v>
      </c>
      <c r="N56" s="143"/>
      <c r="O56" s="24">
        <v>111681050</v>
      </c>
      <c r="P56" s="143"/>
      <c r="Q56" s="24">
        <v>108122863</v>
      </c>
      <c r="R56" s="143"/>
      <c r="S56" s="143">
        <f t="shared" si="3"/>
        <v>2964428</v>
      </c>
      <c r="T56" s="143"/>
      <c r="U56" s="24">
        <v>124392062</v>
      </c>
      <c r="V56" s="143"/>
      <c r="W56" s="24">
        <v>235479353</v>
      </c>
      <c r="X56" s="143"/>
      <c r="Y56" s="143">
        <f t="shared" si="4"/>
        <v>0</v>
      </c>
    </row>
    <row r="57" spans="1:26" s="93" customFormat="1" ht="12.75" customHeight="1">
      <c r="A57" s="23" t="s">
        <v>182</v>
      </c>
      <c r="B57" s="23"/>
      <c r="C57" s="143">
        <f t="shared" si="1"/>
        <v>387740852</v>
      </c>
      <c r="D57" s="143"/>
      <c r="E57" s="24">
        <v>316140194</v>
      </c>
      <c r="F57" s="143"/>
      <c r="G57" s="24">
        <v>0</v>
      </c>
      <c r="H57" s="143"/>
      <c r="I57" s="24">
        <v>703881046</v>
      </c>
      <c r="J57" s="143"/>
      <c r="K57" s="143">
        <f t="shared" si="2"/>
        <v>183567886</v>
      </c>
      <c r="L57" s="143"/>
      <c r="M57" s="24">
        <v>121868004</v>
      </c>
      <c r="N57" s="143"/>
      <c r="O57" s="24">
        <v>305435890</v>
      </c>
      <c r="P57" s="143"/>
      <c r="Q57" s="24">
        <v>183060631</v>
      </c>
      <c r="R57" s="143"/>
      <c r="S57" s="143">
        <f t="shared" si="3"/>
        <v>144680087</v>
      </c>
      <c r="T57" s="143"/>
      <c r="U57" s="24">
        <v>70704438</v>
      </c>
      <c r="V57" s="143"/>
      <c r="W57" s="24">
        <v>398445156</v>
      </c>
      <c r="X57" s="143"/>
      <c r="Y57" s="143">
        <f t="shared" si="4"/>
        <v>0</v>
      </c>
      <c r="Z57" s="93" t="s">
        <v>226</v>
      </c>
    </row>
    <row r="58" spans="1:25" s="93" customFormat="1" ht="12.75" customHeight="1" hidden="1">
      <c r="A58" s="23" t="s">
        <v>52</v>
      </c>
      <c r="B58" s="23"/>
      <c r="C58" s="143">
        <f t="shared" si="1"/>
        <v>0</v>
      </c>
      <c r="D58" s="143"/>
      <c r="E58" s="24"/>
      <c r="F58" s="143"/>
      <c r="G58" s="24"/>
      <c r="H58" s="143"/>
      <c r="I58" s="24"/>
      <c r="J58" s="143"/>
      <c r="K58" s="143">
        <f t="shared" si="2"/>
        <v>0</v>
      </c>
      <c r="L58" s="143"/>
      <c r="M58" s="24"/>
      <c r="N58" s="143"/>
      <c r="O58" s="24"/>
      <c r="P58" s="143"/>
      <c r="Q58" s="24"/>
      <c r="R58" s="143"/>
      <c r="S58" s="143">
        <f t="shared" si="3"/>
        <v>0</v>
      </c>
      <c r="T58" s="143"/>
      <c r="U58" s="24"/>
      <c r="V58" s="143"/>
      <c r="W58" s="24"/>
      <c r="X58" s="143"/>
      <c r="Y58" s="143">
        <f t="shared" si="4"/>
        <v>0</v>
      </c>
    </row>
    <row r="59" spans="1:26" s="93" customFormat="1" ht="12.75" customHeight="1">
      <c r="A59" s="23" t="s">
        <v>53</v>
      </c>
      <c r="B59" s="23"/>
      <c r="C59" s="143">
        <f t="shared" si="1"/>
        <v>160108795</v>
      </c>
      <c r="D59" s="143"/>
      <c r="E59" s="24">
        <f>7542041+143226926</f>
        <v>150768967</v>
      </c>
      <c r="F59" s="143"/>
      <c r="G59" s="24">
        <v>1618859</v>
      </c>
      <c r="H59" s="143"/>
      <c r="I59" s="24">
        <v>312496621</v>
      </c>
      <c r="J59" s="143"/>
      <c r="K59" s="143">
        <f t="shared" si="2"/>
        <v>58323738</v>
      </c>
      <c r="L59" s="143"/>
      <c r="M59" s="24">
        <v>51154616</v>
      </c>
      <c r="N59" s="143"/>
      <c r="O59" s="24">
        <v>109478354</v>
      </c>
      <c r="P59" s="143"/>
      <c r="Q59" s="24">
        <v>105436457</v>
      </c>
      <c r="R59" s="143"/>
      <c r="S59" s="143">
        <f t="shared" si="3"/>
        <v>89319876</v>
      </c>
      <c r="T59" s="143"/>
      <c r="U59" s="24">
        <v>8261934</v>
      </c>
      <c r="V59" s="143"/>
      <c r="W59" s="24">
        <v>203018267</v>
      </c>
      <c r="X59" s="143"/>
      <c r="Y59" s="143">
        <f t="shared" si="4"/>
        <v>0</v>
      </c>
      <c r="Z59" s="94"/>
    </row>
    <row r="60" spans="1:25" s="93" customFormat="1" ht="12.75" customHeight="1">
      <c r="A60" s="23" t="s">
        <v>54</v>
      </c>
      <c r="B60" s="23"/>
      <c r="C60" s="143">
        <f t="shared" si="1"/>
        <v>42035891</v>
      </c>
      <c r="D60" s="143"/>
      <c r="E60" s="24">
        <f>20124479+52277744</f>
        <v>72402223</v>
      </c>
      <c r="F60" s="143"/>
      <c r="G60" s="24">
        <v>0</v>
      </c>
      <c r="H60" s="143"/>
      <c r="I60" s="24">
        <v>114438114</v>
      </c>
      <c r="J60" s="143"/>
      <c r="K60" s="143">
        <f t="shared" si="2"/>
        <v>15108420</v>
      </c>
      <c r="L60" s="143"/>
      <c r="M60" s="24">
        <v>9432875</v>
      </c>
      <c r="N60" s="143"/>
      <c r="O60" s="24">
        <v>24541295</v>
      </c>
      <c r="P60" s="143"/>
      <c r="Q60" s="24">
        <v>63522762</v>
      </c>
      <c r="R60" s="143"/>
      <c r="S60" s="143">
        <f t="shared" si="3"/>
        <v>25789516</v>
      </c>
      <c r="T60" s="143"/>
      <c r="U60" s="24">
        <v>584541</v>
      </c>
      <c r="V60" s="143"/>
      <c r="W60" s="24">
        <v>89896819</v>
      </c>
      <c r="X60" s="143"/>
      <c r="Y60" s="143">
        <f t="shared" si="4"/>
        <v>0</v>
      </c>
    </row>
    <row r="61" spans="1:25" s="93" customFormat="1" ht="12.75" customHeight="1">
      <c r="A61" s="23" t="s">
        <v>55</v>
      </c>
      <c r="B61" s="23"/>
      <c r="C61" s="143">
        <f t="shared" si="1"/>
        <v>89424929</v>
      </c>
      <c r="D61" s="143"/>
      <c r="E61" s="24">
        <f>4702093+52053894</f>
        <v>56755987</v>
      </c>
      <c r="F61" s="143"/>
      <c r="G61" s="24">
        <v>101530</v>
      </c>
      <c r="H61" s="143"/>
      <c r="I61" s="24">
        <v>146282446</v>
      </c>
      <c r="J61" s="143"/>
      <c r="K61" s="143">
        <f t="shared" si="2"/>
        <v>34879716</v>
      </c>
      <c r="L61" s="143"/>
      <c r="M61" s="24">
        <v>11861012</v>
      </c>
      <c r="N61" s="143"/>
      <c r="O61" s="24">
        <v>46740728</v>
      </c>
      <c r="P61" s="143"/>
      <c r="Q61" s="24">
        <v>52317161</v>
      </c>
      <c r="R61" s="143"/>
      <c r="S61" s="143">
        <f t="shared" si="3"/>
        <v>44565063</v>
      </c>
      <c r="T61" s="143"/>
      <c r="U61" s="24">
        <v>2659494</v>
      </c>
      <c r="V61" s="143"/>
      <c r="W61" s="24">
        <v>99541718</v>
      </c>
      <c r="X61" s="143"/>
      <c r="Y61" s="143">
        <f t="shared" si="4"/>
        <v>0</v>
      </c>
    </row>
    <row r="62" spans="1:25" s="93" customFormat="1" ht="12.75" customHeight="1" hidden="1">
      <c r="A62" s="23" t="s">
        <v>170</v>
      </c>
      <c r="B62" s="23"/>
      <c r="C62" s="143">
        <f t="shared" si="1"/>
        <v>0</v>
      </c>
      <c r="D62" s="143"/>
      <c r="E62" s="24"/>
      <c r="F62" s="143"/>
      <c r="G62" s="24"/>
      <c r="H62" s="143"/>
      <c r="I62" s="24"/>
      <c r="J62" s="143"/>
      <c r="K62" s="143">
        <f t="shared" si="2"/>
        <v>0</v>
      </c>
      <c r="L62" s="143"/>
      <c r="M62" s="24"/>
      <c r="N62" s="143"/>
      <c r="O62" s="24"/>
      <c r="P62" s="143"/>
      <c r="Q62" s="24"/>
      <c r="R62" s="143"/>
      <c r="S62" s="143">
        <f t="shared" si="3"/>
        <v>0</v>
      </c>
      <c r="T62" s="143"/>
      <c r="U62" s="24"/>
      <c r="V62" s="143"/>
      <c r="W62" s="24"/>
      <c r="X62" s="143"/>
      <c r="Y62" s="143">
        <f t="shared" si="4"/>
        <v>0</v>
      </c>
    </row>
    <row r="63" spans="1:25" s="93" customFormat="1" ht="12.75" customHeight="1" hidden="1">
      <c r="A63" s="23" t="s">
        <v>56</v>
      </c>
      <c r="B63" s="23"/>
      <c r="C63" s="143">
        <f t="shared" si="1"/>
        <v>0</v>
      </c>
      <c r="D63" s="143"/>
      <c r="E63" s="24"/>
      <c r="F63" s="143"/>
      <c r="G63" s="24"/>
      <c r="H63" s="143"/>
      <c r="I63" s="24"/>
      <c r="J63" s="143"/>
      <c r="K63" s="143">
        <f t="shared" si="2"/>
        <v>0</v>
      </c>
      <c r="L63" s="143"/>
      <c r="M63" s="24"/>
      <c r="N63" s="143"/>
      <c r="O63" s="24"/>
      <c r="P63" s="143"/>
      <c r="Q63" s="24"/>
      <c r="R63" s="143"/>
      <c r="S63" s="143">
        <f t="shared" si="3"/>
        <v>0</v>
      </c>
      <c r="T63" s="143"/>
      <c r="U63" s="24"/>
      <c r="V63" s="143"/>
      <c r="W63" s="24"/>
      <c r="X63" s="143"/>
      <c r="Y63" s="143">
        <f t="shared" si="4"/>
        <v>0</v>
      </c>
    </row>
    <row r="64" spans="1:25" s="93" customFormat="1" ht="12.75" customHeight="1">
      <c r="A64" s="23" t="s">
        <v>57</v>
      </c>
      <c r="B64" s="23"/>
      <c r="C64" s="143">
        <f t="shared" si="1"/>
        <v>75472338</v>
      </c>
      <c r="D64" s="143"/>
      <c r="E64" s="24">
        <f>5517735+84329162</f>
        <v>89846897</v>
      </c>
      <c r="F64" s="143"/>
      <c r="G64" s="24">
        <v>0</v>
      </c>
      <c r="H64" s="143"/>
      <c r="I64" s="24">
        <v>165319235</v>
      </c>
      <c r="J64" s="143"/>
      <c r="K64" s="143">
        <f t="shared" si="2"/>
        <v>22158614</v>
      </c>
      <c r="L64" s="143"/>
      <c r="M64" s="24">
        <v>17048149</v>
      </c>
      <c r="N64" s="143"/>
      <c r="O64" s="24">
        <v>39206763</v>
      </c>
      <c r="P64" s="143"/>
      <c r="Q64" s="24">
        <v>76873751</v>
      </c>
      <c r="R64" s="143"/>
      <c r="S64" s="143">
        <f t="shared" si="3"/>
        <v>30204998</v>
      </c>
      <c r="T64" s="143"/>
      <c r="U64" s="24">
        <v>19033723</v>
      </c>
      <c r="V64" s="143"/>
      <c r="W64" s="24">
        <v>126112472</v>
      </c>
      <c r="X64" s="143"/>
      <c r="Y64" s="143">
        <f t="shared" si="4"/>
        <v>0</v>
      </c>
    </row>
    <row r="65" spans="1:25" s="93" customFormat="1" ht="12.75" customHeight="1" hidden="1">
      <c r="A65" s="131" t="s">
        <v>58</v>
      </c>
      <c r="B65" s="23"/>
      <c r="C65" s="143">
        <f t="shared" si="1"/>
        <v>0</v>
      </c>
      <c r="D65" s="143"/>
      <c r="E65" s="24"/>
      <c r="F65" s="143"/>
      <c r="G65" s="24"/>
      <c r="H65" s="143"/>
      <c r="I65" s="24"/>
      <c r="J65" s="143"/>
      <c r="K65" s="143">
        <f t="shared" si="2"/>
        <v>0</v>
      </c>
      <c r="L65" s="143"/>
      <c r="M65" s="24"/>
      <c r="N65" s="143"/>
      <c r="O65" s="24"/>
      <c r="P65" s="143"/>
      <c r="Q65" s="24"/>
      <c r="R65" s="143"/>
      <c r="S65" s="143">
        <f t="shared" si="3"/>
        <v>0</v>
      </c>
      <c r="T65" s="143"/>
      <c r="U65" s="24"/>
      <c r="V65" s="143"/>
      <c r="W65" s="24"/>
      <c r="X65" s="143"/>
      <c r="Y65" s="143">
        <f t="shared" si="4"/>
        <v>0</v>
      </c>
    </row>
    <row r="66" spans="1:25" s="93" customFormat="1" ht="12.75" customHeight="1">
      <c r="A66" s="23" t="s">
        <v>59</v>
      </c>
      <c r="B66" s="23"/>
      <c r="C66" s="24">
        <f>+I66-E66-G66</f>
        <v>540696749</v>
      </c>
      <c r="D66" s="24"/>
      <c r="E66" s="24">
        <f>373895254+152721759</f>
        <v>526617013</v>
      </c>
      <c r="F66" s="24"/>
      <c r="G66" s="24">
        <v>0</v>
      </c>
      <c r="H66" s="24"/>
      <c r="I66" s="24">
        <v>1067313762</v>
      </c>
      <c r="J66" s="24"/>
      <c r="K66" s="24">
        <f t="shared" si="2"/>
        <v>179359046</v>
      </c>
      <c r="L66" s="24"/>
      <c r="M66" s="24">
        <v>48611364</v>
      </c>
      <c r="N66" s="24"/>
      <c r="O66" s="24">
        <v>227970410</v>
      </c>
      <c r="P66" s="24"/>
      <c r="Q66" s="24">
        <v>491258673</v>
      </c>
      <c r="R66" s="24"/>
      <c r="S66" s="24">
        <f t="shared" si="3"/>
        <v>240562953</v>
      </c>
      <c r="T66" s="24"/>
      <c r="U66" s="24">
        <v>107521726</v>
      </c>
      <c r="V66" s="24"/>
      <c r="W66" s="24">
        <v>839343352</v>
      </c>
      <c r="X66" s="24"/>
      <c r="Y66" s="24">
        <f t="shared" si="4"/>
        <v>0</v>
      </c>
    </row>
    <row r="67" spans="1:25" s="93" customFormat="1" ht="12.75" customHeight="1" hidden="1">
      <c r="A67" s="23" t="s">
        <v>60</v>
      </c>
      <c r="B67" s="23"/>
      <c r="C67" s="24">
        <f t="shared" si="1"/>
        <v>0</v>
      </c>
      <c r="D67" s="24"/>
      <c r="E67" s="24"/>
      <c r="F67" s="24"/>
      <c r="G67" s="24"/>
      <c r="H67" s="24"/>
      <c r="I67" s="24"/>
      <c r="J67" s="24"/>
      <c r="K67" s="24">
        <f t="shared" si="2"/>
        <v>0</v>
      </c>
      <c r="L67" s="24"/>
      <c r="M67" s="24"/>
      <c r="N67" s="24"/>
      <c r="O67" s="24"/>
      <c r="P67" s="24"/>
      <c r="Q67" s="24"/>
      <c r="R67" s="24"/>
      <c r="S67" s="24">
        <f t="shared" si="3"/>
        <v>0</v>
      </c>
      <c r="T67" s="24"/>
      <c r="U67" s="24"/>
      <c r="V67" s="24"/>
      <c r="W67" s="24"/>
      <c r="X67" s="24"/>
      <c r="Y67" s="24">
        <f t="shared" si="4"/>
        <v>0</v>
      </c>
    </row>
    <row r="68" spans="1:25" s="93" customFormat="1" ht="12.75" customHeight="1">
      <c r="A68" s="23" t="s">
        <v>97</v>
      </c>
      <c r="B68" s="23"/>
      <c r="C68" s="24">
        <f>+I68-E68-G68</f>
        <v>19236923</v>
      </c>
      <c r="D68" s="24"/>
      <c r="E68" s="24">
        <v>31131400</v>
      </c>
      <c r="F68" s="24"/>
      <c r="G68" s="24">
        <v>0</v>
      </c>
      <c r="H68" s="24"/>
      <c r="I68" s="24">
        <v>50368323</v>
      </c>
      <c r="J68" s="24"/>
      <c r="K68" s="24">
        <f t="shared" si="2"/>
        <v>7487224</v>
      </c>
      <c r="L68" s="24"/>
      <c r="M68" s="24">
        <v>6644400</v>
      </c>
      <c r="N68" s="24"/>
      <c r="O68" s="24">
        <v>14131624</v>
      </c>
      <c r="P68" s="24"/>
      <c r="Q68" s="24">
        <v>24807501</v>
      </c>
      <c r="R68" s="24"/>
      <c r="S68" s="24">
        <f t="shared" si="3"/>
        <v>11379193</v>
      </c>
      <c r="T68" s="24"/>
      <c r="U68" s="24">
        <v>50005</v>
      </c>
      <c r="V68" s="24"/>
      <c r="W68" s="24">
        <v>36236699</v>
      </c>
      <c r="X68" s="24"/>
      <c r="Y68" s="24">
        <f t="shared" si="4"/>
        <v>0</v>
      </c>
    </row>
    <row r="69" spans="1:25" s="93" customFormat="1" ht="12.75" customHeight="1">
      <c r="A69" s="23" t="s">
        <v>61</v>
      </c>
      <c r="B69" s="23"/>
      <c r="C69" s="24">
        <f t="shared" si="1"/>
        <v>84615485</v>
      </c>
      <c r="D69" s="24"/>
      <c r="E69" s="24">
        <f>42511299+59455550</f>
        <v>101966849</v>
      </c>
      <c r="F69" s="24"/>
      <c r="G69" s="24">
        <v>199897</v>
      </c>
      <c r="H69" s="24"/>
      <c r="I69" s="24">
        <v>186782231</v>
      </c>
      <c r="J69" s="24"/>
      <c r="K69" s="24">
        <f t="shared" si="2"/>
        <v>28805182</v>
      </c>
      <c r="L69" s="24"/>
      <c r="M69" s="24">
        <v>19353961</v>
      </c>
      <c r="N69" s="24"/>
      <c r="O69" s="24">
        <v>48159143</v>
      </c>
      <c r="P69" s="24"/>
      <c r="Q69" s="24">
        <v>83557999</v>
      </c>
      <c r="R69" s="24"/>
      <c r="S69" s="24">
        <f t="shared" si="3"/>
        <v>44866434</v>
      </c>
      <c r="T69" s="24"/>
      <c r="U69" s="24">
        <v>10198655</v>
      </c>
      <c r="V69" s="24"/>
      <c r="W69" s="24">
        <v>138623088</v>
      </c>
      <c r="X69" s="24"/>
      <c r="Y69" s="24">
        <f t="shared" si="4"/>
        <v>0</v>
      </c>
    </row>
    <row r="70" spans="1:25" ht="12.75" customHeight="1">
      <c r="A70" s="23" t="s">
        <v>62</v>
      </c>
      <c r="B70" s="23"/>
      <c r="C70" s="24">
        <f t="shared" si="1"/>
        <v>11975818</v>
      </c>
      <c r="D70" s="24"/>
      <c r="E70" s="24">
        <f>13616185+9901722</f>
        <v>23517907</v>
      </c>
      <c r="F70" s="24"/>
      <c r="G70" s="24">
        <v>0</v>
      </c>
      <c r="H70" s="24"/>
      <c r="I70" s="24">
        <v>35493725</v>
      </c>
      <c r="J70" s="24"/>
      <c r="K70" s="24">
        <f t="shared" si="2"/>
        <v>3053550</v>
      </c>
      <c r="L70" s="24"/>
      <c r="M70" s="24">
        <v>677894</v>
      </c>
      <c r="N70" s="24"/>
      <c r="O70" s="24">
        <v>3731444</v>
      </c>
      <c r="P70" s="24"/>
      <c r="Q70" s="24">
        <v>23115254</v>
      </c>
      <c r="R70" s="24"/>
      <c r="S70" s="24">
        <f t="shared" si="3"/>
        <v>7419259</v>
      </c>
      <c r="T70" s="24"/>
      <c r="U70" s="24">
        <v>1227768</v>
      </c>
      <c r="V70" s="24"/>
      <c r="W70" s="24">
        <v>31762281</v>
      </c>
      <c r="X70" s="25"/>
      <c r="Y70" s="25">
        <f>I70-O70-W70</f>
        <v>0</v>
      </c>
    </row>
    <row r="71" spans="1:25" s="93" customFormat="1" ht="12.75" customHeight="1" hidden="1">
      <c r="A71" s="23" t="s">
        <v>223</v>
      </c>
      <c r="B71" s="23"/>
      <c r="C71" s="24">
        <f t="shared" si="1"/>
        <v>0</v>
      </c>
      <c r="D71" s="24"/>
      <c r="E71" s="24"/>
      <c r="F71" s="24"/>
      <c r="G71" s="24"/>
      <c r="H71" s="24"/>
      <c r="I71" s="24"/>
      <c r="J71" s="24"/>
      <c r="K71" s="24">
        <f t="shared" si="2"/>
        <v>0</v>
      </c>
      <c r="L71" s="24"/>
      <c r="M71" s="24"/>
      <c r="N71" s="24"/>
      <c r="O71" s="24"/>
      <c r="P71" s="24"/>
      <c r="Q71" s="24"/>
      <c r="R71" s="24"/>
      <c r="S71" s="24">
        <f t="shared" si="3"/>
        <v>0</v>
      </c>
      <c r="T71" s="24"/>
      <c r="U71" s="24"/>
      <c r="V71" s="24"/>
      <c r="W71" s="24"/>
      <c r="X71" s="24"/>
      <c r="Y71" s="24">
        <f t="shared" si="4"/>
        <v>0</v>
      </c>
    </row>
    <row r="72" spans="1:25" s="93" customFormat="1" ht="12.75" customHeight="1" hidden="1">
      <c r="A72" s="23" t="s">
        <v>131</v>
      </c>
      <c r="B72" s="23"/>
      <c r="C72" s="24">
        <f t="shared" si="1"/>
        <v>0</v>
      </c>
      <c r="D72" s="24"/>
      <c r="E72" s="24"/>
      <c r="F72" s="24"/>
      <c r="G72" s="24"/>
      <c r="H72" s="24"/>
      <c r="I72" s="24"/>
      <c r="J72" s="24"/>
      <c r="K72" s="24">
        <f t="shared" si="2"/>
        <v>0</v>
      </c>
      <c r="L72" s="24"/>
      <c r="M72" s="24"/>
      <c r="N72" s="24"/>
      <c r="O72" s="24"/>
      <c r="P72" s="24"/>
      <c r="Q72" s="24"/>
      <c r="R72" s="24"/>
      <c r="S72" s="24">
        <f t="shared" si="3"/>
        <v>0</v>
      </c>
      <c r="T72" s="24"/>
      <c r="U72" s="24"/>
      <c r="V72" s="24"/>
      <c r="W72" s="24"/>
      <c r="X72" s="24"/>
      <c r="Y72" s="24">
        <f t="shared" si="4"/>
        <v>0</v>
      </c>
    </row>
    <row r="73" spans="1:25" s="93" customFormat="1" ht="12.75" customHeight="1" hidden="1">
      <c r="A73" s="23" t="s">
        <v>64</v>
      </c>
      <c r="B73" s="23"/>
      <c r="C73" s="24">
        <f t="shared" si="1"/>
        <v>0</v>
      </c>
      <c r="D73" s="24"/>
      <c r="E73" s="24"/>
      <c r="F73" s="24"/>
      <c r="G73" s="24"/>
      <c r="H73" s="24"/>
      <c r="I73" s="24"/>
      <c r="J73" s="24"/>
      <c r="K73" s="24">
        <f t="shared" si="2"/>
        <v>0</v>
      </c>
      <c r="L73" s="24"/>
      <c r="M73" s="24"/>
      <c r="N73" s="24"/>
      <c r="O73" s="24"/>
      <c r="P73" s="24"/>
      <c r="Q73" s="24"/>
      <c r="R73" s="24"/>
      <c r="S73" s="24">
        <f t="shared" si="3"/>
        <v>0</v>
      </c>
      <c r="T73" s="24"/>
      <c r="U73" s="24"/>
      <c r="V73" s="24"/>
      <c r="W73" s="24"/>
      <c r="X73" s="24"/>
      <c r="Y73" s="24">
        <f t="shared" si="4"/>
        <v>0</v>
      </c>
    </row>
    <row r="74" spans="1:25" s="93" customFormat="1" ht="12.75" customHeight="1">
      <c r="A74" s="23" t="s">
        <v>186</v>
      </c>
      <c r="B74" s="23"/>
      <c r="C74" s="24">
        <f t="shared" si="1"/>
        <v>34045187</v>
      </c>
      <c r="D74" s="24"/>
      <c r="E74" s="24">
        <f>731102+41723472</f>
        <v>42454574</v>
      </c>
      <c r="F74" s="24"/>
      <c r="G74" s="24">
        <v>116538</v>
      </c>
      <c r="H74" s="24"/>
      <c r="I74" s="24">
        <v>76616299</v>
      </c>
      <c r="J74" s="24"/>
      <c r="K74" s="24">
        <f t="shared" si="2"/>
        <v>8351873</v>
      </c>
      <c r="L74" s="24"/>
      <c r="M74" s="24">
        <v>3546754</v>
      </c>
      <c r="N74" s="24"/>
      <c r="O74" s="24">
        <v>11898627</v>
      </c>
      <c r="P74" s="24"/>
      <c r="Q74" s="24">
        <v>4196635</v>
      </c>
      <c r="R74" s="24"/>
      <c r="S74" s="24">
        <f t="shared" si="3"/>
        <v>19011081</v>
      </c>
      <c r="T74" s="24"/>
      <c r="U74" s="24">
        <v>3709956</v>
      </c>
      <c r="V74" s="24"/>
      <c r="W74" s="24">
        <v>26917672</v>
      </c>
      <c r="X74" s="24"/>
      <c r="Y74" s="24">
        <f t="shared" si="4"/>
        <v>37800000</v>
      </c>
    </row>
    <row r="75" spans="1:25" s="93" customFormat="1" ht="12.75" customHeight="1">
      <c r="A75" s="23" t="s">
        <v>66</v>
      </c>
      <c r="B75" s="23"/>
      <c r="C75" s="24">
        <f t="shared" si="1"/>
        <v>29365471</v>
      </c>
      <c r="D75" s="24"/>
      <c r="E75" s="24">
        <f>1532182+37361275</f>
        <v>38893457</v>
      </c>
      <c r="F75" s="24"/>
      <c r="G75" s="24">
        <v>0</v>
      </c>
      <c r="H75" s="24"/>
      <c r="I75" s="24">
        <v>68258928</v>
      </c>
      <c r="J75" s="24"/>
      <c r="K75" s="24">
        <f t="shared" si="2"/>
        <v>5292510</v>
      </c>
      <c r="L75" s="24"/>
      <c r="M75" s="24">
        <v>6745767</v>
      </c>
      <c r="N75" s="24"/>
      <c r="O75" s="24">
        <v>12038277</v>
      </c>
      <c r="P75" s="24"/>
      <c r="Q75" s="24">
        <v>31865223</v>
      </c>
      <c r="R75" s="24"/>
      <c r="S75" s="24">
        <f t="shared" si="3"/>
        <v>16659737</v>
      </c>
      <c r="T75" s="24"/>
      <c r="U75" s="24">
        <v>7695691</v>
      </c>
      <c r="V75" s="24"/>
      <c r="W75" s="24">
        <v>56220651</v>
      </c>
      <c r="X75" s="24"/>
      <c r="Y75" s="24">
        <f t="shared" si="4"/>
        <v>0</v>
      </c>
    </row>
    <row r="76" spans="1:25" s="93" customFormat="1" ht="12.75" customHeight="1">
      <c r="A76" s="23" t="s">
        <v>67</v>
      </c>
      <c r="B76" s="23"/>
      <c r="C76" s="24">
        <f t="shared" si="1"/>
        <v>125881093</v>
      </c>
      <c r="D76" s="24"/>
      <c r="E76" s="24">
        <f>8419611+81450667</f>
        <v>89870278</v>
      </c>
      <c r="F76" s="24"/>
      <c r="G76" s="24">
        <v>0</v>
      </c>
      <c r="H76" s="24"/>
      <c r="I76" s="24">
        <v>215751371</v>
      </c>
      <c r="J76" s="24"/>
      <c r="K76" s="24">
        <f t="shared" si="2"/>
        <v>36482975</v>
      </c>
      <c r="L76" s="24"/>
      <c r="M76" s="24">
        <v>19560572</v>
      </c>
      <c r="N76" s="24"/>
      <c r="O76" s="24">
        <v>56043547</v>
      </c>
      <c r="P76" s="24"/>
      <c r="Q76" s="24">
        <v>74210233</v>
      </c>
      <c r="R76" s="24"/>
      <c r="S76" s="24">
        <f t="shared" si="3"/>
        <v>64279673</v>
      </c>
      <c r="T76" s="24"/>
      <c r="U76" s="24">
        <v>21217918</v>
      </c>
      <c r="V76" s="24"/>
      <c r="W76" s="24">
        <v>159707824</v>
      </c>
      <c r="X76" s="24"/>
      <c r="Y76" s="24">
        <f t="shared" si="4"/>
        <v>0</v>
      </c>
    </row>
    <row r="77" spans="1:25" s="93" customFormat="1" ht="12.75" customHeight="1">
      <c r="A77" s="23" t="s">
        <v>68</v>
      </c>
      <c r="B77" s="23"/>
      <c r="C77" s="24">
        <f>+I77-E77-G77</f>
        <v>21901586</v>
      </c>
      <c r="D77" s="24"/>
      <c r="E77" s="24">
        <f>2252014+11681083+9412141+22765082+75665-18236496</f>
        <v>27949489</v>
      </c>
      <c r="F77" s="24"/>
      <c r="G77" s="24">
        <v>1291</v>
      </c>
      <c r="H77" s="24"/>
      <c r="I77" s="24">
        <v>49852366</v>
      </c>
      <c r="J77" s="24"/>
      <c r="K77" s="24">
        <f>+O77-M77</f>
        <v>5232143</v>
      </c>
      <c r="L77" s="24"/>
      <c r="M77" s="24">
        <v>1340227</v>
      </c>
      <c r="N77" s="24"/>
      <c r="O77" s="24">
        <v>6572370</v>
      </c>
      <c r="P77" s="24"/>
      <c r="Q77" s="24">
        <v>26946687</v>
      </c>
      <c r="R77" s="24"/>
      <c r="S77" s="24">
        <f>W77-U77-Q77</f>
        <v>11448107</v>
      </c>
      <c r="T77" s="24"/>
      <c r="U77" s="24">
        <v>4885202</v>
      </c>
      <c r="V77" s="24"/>
      <c r="W77" s="24">
        <v>43279996</v>
      </c>
      <c r="X77" s="24"/>
      <c r="Y77" s="24">
        <f t="shared" si="4"/>
        <v>0</v>
      </c>
    </row>
    <row r="78" spans="1:25" s="93" customFormat="1" ht="12.75" customHeight="1" hidden="1">
      <c r="A78" s="23" t="s">
        <v>175</v>
      </c>
      <c r="B78" s="23"/>
      <c r="C78" s="24">
        <f>+I78-E78-G78</f>
        <v>0</v>
      </c>
      <c r="D78" s="24"/>
      <c r="E78" s="24"/>
      <c r="F78" s="24"/>
      <c r="G78" s="24"/>
      <c r="H78" s="24"/>
      <c r="I78" s="24"/>
      <c r="J78" s="24"/>
      <c r="K78" s="24">
        <f>+O78-M78</f>
        <v>0</v>
      </c>
      <c r="L78" s="24"/>
      <c r="M78" s="24"/>
      <c r="N78" s="24"/>
      <c r="O78" s="24"/>
      <c r="P78" s="24"/>
      <c r="Q78" s="24"/>
      <c r="R78" s="24"/>
      <c r="S78" s="24">
        <f>W78-U78-Q78</f>
        <v>0</v>
      </c>
      <c r="T78" s="24"/>
      <c r="U78" s="24">
        <v>0</v>
      </c>
      <c r="V78" s="24"/>
      <c r="W78" s="24">
        <v>0</v>
      </c>
      <c r="X78" s="24"/>
      <c r="Y78" s="24">
        <f t="shared" si="4"/>
        <v>0</v>
      </c>
    </row>
    <row r="79" spans="5:23" s="93" customFormat="1" ht="12.75" customHeight="1">
      <c r="E79" s="24"/>
      <c r="G79" s="24"/>
      <c r="I79" s="24"/>
      <c r="M79" s="24"/>
      <c r="O79" s="24"/>
      <c r="Q79" s="24"/>
      <c r="U79" s="24"/>
      <c r="W79" s="24"/>
    </row>
    <row r="80" spans="5:23" s="93" customFormat="1" ht="12.75" customHeight="1">
      <c r="E80" s="24"/>
      <c r="G80" s="24"/>
      <c r="I80" s="24"/>
      <c r="M80" s="24"/>
      <c r="O80" s="24"/>
      <c r="Q80" s="24"/>
      <c r="U80" s="24"/>
      <c r="W80" s="30" t="s">
        <v>247</v>
      </c>
    </row>
    <row r="81" spans="1:25" s="93" customFormat="1" ht="12.75" customHeight="1">
      <c r="A81" s="23" t="s">
        <v>177</v>
      </c>
      <c r="B81" s="23"/>
      <c r="C81" s="44">
        <f>+I81-E81-G81</f>
        <v>106966175</v>
      </c>
      <c r="D81" s="44"/>
      <c r="E81" s="177">
        <v>105267371</v>
      </c>
      <c r="F81" s="177"/>
      <c r="G81" s="177">
        <v>740042</v>
      </c>
      <c r="H81" s="177"/>
      <c r="I81" s="177">
        <v>212973588</v>
      </c>
      <c r="J81" s="177"/>
      <c r="K81" s="177">
        <f>+O81-M81</f>
        <v>32947045</v>
      </c>
      <c r="L81" s="177"/>
      <c r="M81" s="177">
        <v>43371083</v>
      </c>
      <c r="N81" s="177"/>
      <c r="O81" s="177">
        <v>76318128</v>
      </c>
      <c r="P81" s="177"/>
      <c r="Q81" s="177">
        <v>67342856</v>
      </c>
      <c r="R81" s="177"/>
      <c r="S81" s="177">
        <f>W81-U81-Q81</f>
        <v>64589602</v>
      </c>
      <c r="T81" s="177"/>
      <c r="U81" s="177">
        <v>4723002</v>
      </c>
      <c r="V81" s="177"/>
      <c r="W81" s="177">
        <v>136655460</v>
      </c>
      <c r="X81" s="177"/>
      <c r="Y81" s="177">
        <f>I81-O81-W81</f>
        <v>0</v>
      </c>
    </row>
    <row r="82" spans="1:25" s="93" customFormat="1" ht="12.75" customHeight="1">
      <c r="A82" s="23" t="s">
        <v>69</v>
      </c>
      <c r="B82" s="23"/>
      <c r="C82" s="24">
        <f aca="true" t="shared" si="5" ref="C82:C98">+I82-E82-G82</f>
        <v>36464841</v>
      </c>
      <c r="D82" s="24"/>
      <c r="E82" s="24">
        <f>3685321+33442428</f>
        <v>37127749</v>
      </c>
      <c r="F82" s="24"/>
      <c r="G82" s="24">
        <v>109258</v>
      </c>
      <c r="H82" s="24"/>
      <c r="I82" s="24">
        <v>73701848</v>
      </c>
      <c r="J82" s="24"/>
      <c r="K82" s="24">
        <f aca="true" t="shared" si="6" ref="K82:K98">+O82-M82</f>
        <v>15532798</v>
      </c>
      <c r="L82" s="24"/>
      <c r="M82" s="24">
        <v>10143916</v>
      </c>
      <c r="N82" s="24"/>
      <c r="O82" s="24">
        <v>25676714</v>
      </c>
      <c r="P82" s="24"/>
      <c r="Q82" s="24">
        <v>27758697</v>
      </c>
      <c r="R82" s="24"/>
      <c r="S82" s="24">
        <f aca="true" t="shared" si="7" ref="S82:S98">W82-U82-Q82</f>
        <v>12615658</v>
      </c>
      <c r="T82" s="24"/>
      <c r="U82" s="24">
        <v>7650779</v>
      </c>
      <c r="V82" s="24"/>
      <c r="W82" s="24">
        <v>48025134</v>
      </c>
      <c r="X82" s="24"/>
      <c r="Y82" s="24">
        <f>I82-O82-W82</f>
        <v>0</v>
      </c>
    </row>
    <row r="83" spans="1:25" s="93" customFormat="1" ht="12.75" customHeight="1">
      <c r="A83" s="23" t="s">
        <v>98</v>
      </c>
      <c r="B83" s="23"/>
      <c r="C83" s="24">
        <f t="shared" si="5"/>
        <v>46977136</v>
      </c>
      <c r="D83" s="24"/>
      <c r="E83" s="24">
        <f>1525164+40384506</f>
        <v>41909670</v>
      </c>
      <c r="F83" s="24"/>
      <c r="G83" s="24">
        <v>0</v>
      </c>
      <c r="H83" s="24"/>
      <c r="I83" s="24">
        <v>88886806</v>
      </c>
      <c r="J83" s="24"/>
      <c r="K83" s="24">
        <f t="shared" si="6"/>
        <v>11283816</v>
      </c>
      <c r="L83" s="24"/>
      <c r="M83" s="24">
        <v>3980825</v>
      </c>
      <c r="N83" s="24"/>
      <c r="O83" s="24">
        <v>15264641</v>
      </c>
      <c r="P83" s="24"/>
      <c r="Q83" s="24">
        <v>38308889</v>
      </c>
      <c r="R83" s="24"/>
      <c r="S83" s="24">
        <f t="shared" si="7"/>
        <v>19665403</v>
      </c>
      <c r="T83" s="24"/>
      <c r="U83" s="24">
        <v>15647873</v>
      </c>
      <c r="V83" s="24"/>
      <c r="W83" s="24">
        <v>73622165</v>
      </c>
      <c r="X83" s="24"/>
      <c r="Y83" s="24">
        <f t="shared" si="4"/>
        <v>0</v>
      </c>
    </row>
    <row r="84" spans="1:25" s="93" customFormat="1" ht="12.75" customHeight="1">
      <c r="A84" s="23" t="s">
        <v>70</v>
      </c>
      <c r="B84" s="23"/>
      <c r="C84" s="24">
        <f t="shared" si="5"/>
        <v>34642873</v>
      </c>
      <c r="D84" s="24"/>
      <c r="E84" s="24">
        <f>1576086+82260773</f>
        <v>83836859</v>
      </c>
      <c r="F84" s="24"/>
      <c r="G84" s="24">
        <v>176169</v>
      </c>
      <c r="H84" s="24"/>
      <c r="I84" s="24">
        <v>118655901</v>
      </c>
      <c r="J84" s="24"/>
      <c r="K84" s="24">
        <f t="shared" si="6"/>
        <v>12052395</v>
      </c>
      <c r="L84" s="24"/>
      <c r="M84" s="24">
        <v>11283495</v>
      </c>
      <c r="N84" s="24"/>
      <c r="O84" s="24">
        <v>23335890</v>
      </c>
      <c r="P84" s="24"/>
      <c r="Q84" s="24">
        <v>73288791</v>
      </c>
      <c r="R84" s="24"/>
      <c r="S84" s="24">
        <f t="shared" si="7"/>
        <v>20880444</v>
      </c>
      <c r="T84" s="24"/>
      <c r="U84" s="24">
        <v>1150776</v>
      </c>
      <c r="V84" s="24"/>
      <c r="W84" s="24">
        <v>95320011</v>
      </c>
      <c r="X84" s="24"/>
      <c r="Y84" s="24">
        <f t="shared" si="4"/>
        <v>0</v>
      </c>
    </row>
    <row r="85" spans="1:25" s="93" customFormat="1" ht="12.75" customHeight="1">
      <c r="A85" s="23" t="s">
        <v>71</v>
      </c>
      <c r="B85" s="23"/>
      <c r="C85" s="24">
        <f t="shared" si="5"/>
        <v>42900869</v>
      </c>
      <c r="D85" s="24"/>
      <c r="E85" s="24">
        <v>65832015</v>
      </c>
      <c r="F85" s="24"/>
      <c r="G85" s="24">
        <v>163917</v>
      </c>
      <c r="H85" s="24"/>
      <c r="I85" s="24">
        <v>108896801</v>
      </c>
      <c r="J85" s="24"/>
      <c r="K85" s="24">
        <f t="shared" si="6"/>
        <v>8050594</v>
      </c>
      <c r="L85" s="24"/>
      <c r="M85" s="24">
        <v>4977154</v>
      </c>
      <c r="N85" s="24"/>
      <c r="O85" s="24">
        <v>13027748</v>
      </c>
      <c r="P85" s="24"/>
      <c r="Q85" s="24">
        <v>61944950</v>
      </c>
      <c r="R85" s="24"/>
      <c r="S85" s="24">
        <f t="shared" si="7"/>
        <v>24789043</v>
      </c>
      <c r="T85" s="24"/>
      <c r="U85" s="24">
        <v>9135060</v>
      </c>
      <c r="V85" s="24"/>
      <c r="W85" s="24">
        <v>95869053</v>
      </c>
      <c r="X85" s="24"/>
      <c r="Y85" s="24">
        <f t="shared" si="4"/>
        <v>0</v>
      </c>
    </row>
    <row r="86" spans="1:25" s="93" customFormat="1" ht="12.75" customHeight="1">
      <c r="A86" s="23" t="s">
        <v>72</v>
      </c>
      <c r="B86" s="23"/>
      <c r="C86" s="24">
        <f t="shared" si="5"/>
        <v>32434418</v>
      </c>
      <c r="D86" s="24"/>
      <c r="E86" s="143">
        <f>80008530+2363513</f>
        <v>82372043</v>
      </c>
      <c r="F86" s="24"/>
      <c r="G86" s="24">
        <v>0</v>
      </c>
      <c r="H86" s="24"/>
      <c r="I86" s="24">
        <v>114806461</v>
      </c>
      <c r="J86" s="24"/>
      <c r="K86" s="24">
        <f t="shared" si="6"/>
        <v>8052326</v>
      </c>
      <c r="L86" s="24"/>
      <c r="M86" s="24">
        <v>1632931</v>
      </c>
      <c r="N86" s="24"/>
      <c r="O86" s="24">
        <v>9685257</v>
      </c>
      <c r="P86" s="24"/>
      <c r="Q86" s="24">
        <v>82156092</v>
      </c>
      <c r="R86" s="24"/>
      <c r="S86" s="24">
        <f t="shared" si="7"/>
        <v>21203932</v>
      </c>
      <c r="T86" s="24"/>
      <c r="U86" s="24">
        <v>1761180</v>
      </c>
      <c r="V86" s="24"/>
      <c r="W86" s="24">
        <v>105121204</v>
      </c>
      <c r="X86" s="24"/>
      <c r="Y86" s="24">
        <f t="shared" si="4"/>
        <v>0</v>
      </c>
    </row>
    <row r="87" spans="1:25" s="93" customFormat="1" ht="12.75" customHeight="1">
      <c r="A87" s="23" t="s">
        <v>73</v>
      </c>
      <c r="B87" s="23"/>
      <c r="C87" s="24">
        <f t="shared" si="5"/>
        <v>233822190</v>
      </c>
      <c r="D87" s="24"/>
      <c r="E87" s="24">
        <f>39722559+131898711</f>
        <v>171621270</v>
      </c>
      <c r="F87" s="24"/>
      <c r="G87" s="24">
        <v>0</v>
      </c>
      <c r="H87" s="24"/>
      <c r="I87" s="24">
        <v>405443460</v>
      </c>
      <c r="J87" s="24"/>
      <c r="K87" s="24">
        <f>+O87-M87</f>
        <v>77552177</v>
      </c>
      <c r="L87" s="24"/>
      <c r="M87" s="24">
        <v>14546816</v>
      </c>
      <c r="N87" s="24"/>
      <c r="O87" s="24">
        <v>92098993</v>
      </c>
      <c r="P87" s="24"/>
      <c r="Q87" s="24">
        <v>166155990</v>
      </c>
      <c r="R87" s="24"/>
      <c r="S87" s="24">
        <f t="shared" si="7"/>
        <v>125481703</v>
      </c>
      <c r="T87" s="24"/>
      <c r="U87" s="24">
        <v>21706774</v>
      </c>
      <c r="V87" s="24"/>
      <c r="W87" s="24">
        <v>313344467</v>
      </c>
      <c r="X87" s="24"/>
      <c r="Y87" s="24">
        <f t="shared" si="4"/>
        <v>0</v>
      </c>
    </row>
    <row r="88" spans="1:25" s="93" customFormat="1" ht="12.75" customHeight="1">
      <c r="A88" s="23" t="s">
        <v>74</v>
      </c>
      <c r="B88" s="23"/>
      <c r="C88" s="24">
        <f t="shared" si="5"/>
        <v>376448259</v>
      </c>
      <c r="D88" s="24"/>
      <c r="E88" s="24">
        <v>23989</v>
      </c>
      <c r="F88" s="24"/>
      <c r="G88" s="24">
        <v>833845</v>
      </c>
      <c r="H88" s="24"/>
      <c r="I88" s="24">
        <v>377306093</v>
      </c>
      <c r="J88" s="24"/>
      <c r="K88" s="24">
        <f t="shared" si="6"/>
        <v>141039040</v>
      </c>
      <c r="L88" s="24"/>
      <c r="M88" s="24">
        <v>78295623</v>
      </c>
      <c r="N88" s="24"/>
      <c r="O88" s="24">
        <v>219334663</v>
      </c>
      <c r="P88" s="24"/>
      <c r="Q88" s="24">
        <v>-56684949</v>
      </c>
      <c r="R88" s="24"/>
      <c r="S88" s="24">
        <f t="shared" si="7"/>
        <v>169585611</v>
      </c>
      <c r="T88" s="24"/>
      <c r="U88" s="24">
        <v>45162264</v>
      </c>
      <c r="V88" s="24"/>
      <c r="W88" s="24">
        <v>158062926</v>
      </c>
      <c r="X88" s="24"/>
      <c r="Y88" s="24">
        <f t="shared" si="4"/>
        <v>-91496</v>
      </c>
    </row>
    <row r="89" spans="1:25" s="93" customFormat="1" ht="12.75" customHeight="1">
      <c r="A89" s="23" t="s">
        <v>75</v>
      </c>
      <c r="B89" s="23"/>
      <c r="C89" s="24">
        <f t="shared" si="5"/>
        <v>145292883</v>
      </c>
      <c r="D89" s="24"/>
      <c r="E89" s="24">
        <f>4761905+101640474</f>
        <v>106402379</v>
      </c>
      <c r="F89" s="24"/>
      <c r="G89" s="24">
        <v>379252</v>
      </c>
      <c r="H89" s="24"/>
      <c r="I89" s="24">
        <v>252074514</v>
      </c>
      <c r="J89" s="24"/>
      <c r="K89" s="24">
        <f t="shared" si="6"/>
        <v>44378956</v>
      </c>
      <c r="L89" s="24"/>
      <c r="M89" s="24">
        <v>27006122</v>
      </c>
      <c r="N89" s="24"/>
      <c r="O89" s="24">
        <v>71385078</v>
      </c>
      <c r="P89" s="24"/>
      <c r="Q89" s="24">
        <v>91352685</v>
      </c>
      <c r="R89" s="24"/>
      <c r="S89" s="24">
        <f t="shared" si="7"/>
        <v>75014274</v>
      </c>
      <c r="T89" s="24"/>
      <c r="U89" s="24">
        <v>14322477</v>
      </c>
      <c r="V89" s="24"/>
      <c r="W89" s="24">
        <v>180689436</v>
      </c>
      <c r="X89" s="24"/>
      <c r="Y89" s="24">
        <f t="shared" si="4"/>
        <v>0</v>
      </c>
    </row>
    <row r="90" spans="1:25" s="93" customFormat="1" ht="12.75" customHeight="1">
      <c r="A90" s="23" t="s">
        <v>76</v>
      </c>
      <c r="B90" s="23"/>
      <c r="C90" s="24">
        <f t="shared" si="5"/>
        <v>58759174</v>
      </c>
      <c r="D90" s="24"/>
      <c r="E90" s="24">
        <f>1315589+76953439</f>
        <v>78269028</v>
      </c>
      <c r="F90" s="24"/>
      <c r="G90" s="24">
        <v>0</v>
      </c>
      <c r="H90" s="24"/>
      <c r="I90" s="24">
        <v>137028202</v>
      </c>
      <c r="J90" s="24"/>
      <c r="K90" s="24">
        <f t="shared" si="6"/>
        <v>13161774</v>
      </c>
      <c r="L90" s="24"/>
      <c r="M90" s="24">
        <v>2859769</v>
      </c>
      <c r="N90" s="24"/>
      <c r="O90" s="24">
        <v>16021543</v>
      </c>
      <c r="P90" s="24"/>
      <c r="Q90" s="24">
        <v>76077580</v>
      </c>
      <c r="R90" s="24"/>
      <c r="S90" s="24">
        <f t="shared" si="7"/>
        <v>30527836</v>
      </c>
      <c r="T90" s="24"/>
      <c r="U90" s="24">
        <v>14401243</v>
      </c>
      <c r="V90" s="24"/>
      <c r="W90" s="24">
        <v>121006659</v>
      </c>
      <c r="X90" s="24"/>
      <c r="Y90" s="24">
        <f t="shared" si="4"/>
        <v>0</v>
      </c>
    </row>
    <row r="91" spans="1:25" s="93" customFormat="1" ht="12.75" customHeight="1">
      <c r="A91" s="23" t="s">
        <v>77</v>
      </c>
      <c r="B91" s="23"/>
      <c r="C91" s="24">
        <f t="shared" si="5"/>
        <v>52166760</v>
      </c>
      <c r="D91" s="24"/>
      <c r="E91" s="24">
        <v>77536599</v>
      </c>
      <c r="F91" s="24"/>
      <c r="G91" s="24">
        <v>0</v>
      </c>
      <c r="H91" s="24"/>
      <c r="I91" s="24">
        <v>129703359</v>
      </c>
      <c r="J91" s="24"/>
      <c r="K91" s="24">
        <f t="shared" si="6"/>
        <v>17629449</v>
      </c>
      <c r="L91" s="24"/>
      <c r="M91" s="24">
        <v>8052705</v>
      </c>
      <c r="N91" s="24"/>
      <c r="O91" s="24">
        <v>25682154</v>
      </c>
      <c r="P91" s="24"/>
      <c r="Q91" s="24">
        <v>70118951</v>
      </c>
      <c r="R91" s="24"/>
      <c r="S91" s="24">
        <f t="shared" si="7"/>
        <v>25713991</v>
      </c>
      <c r="T91" s="24"/>
      <c r="U91" s="24">
        <v>8188263</v>
      </c>
      <c r="V91" s="24"/>
      <c r="W91" s="24">
        <v>104021205</v>
      </c>
      <c r="X91" s="24"/>
      <c r="Y91" s="24">
        <f t="shared" si="4"/>
        <v>0</v>
      </c>
    </row>
    <row r="92" spans="1:25" s="93" customFormat="1" ht="12.75" customHeight="1">
      <c r="A92" s="23" t="s">
        <v>78</v>
      </c>
      <c r="B92" s="23"/>
      <c r="C92" s="24">
        <f t="shared" si="5"/>
        <v>18552625</v>
      </c>
      <c r="D92" s="24"/>
      <c r="E92" s="24">
        <f>23637918+321909</f>
        <v>23959827</v>
      </c>
      <c r="F92" s="24"/>
      <c r="G92" s="24">
        <v>0</v>
      </c>
      <c r="H92" s="24"/>
      <c r="I92" s="24">
        <v>42512452</v>
      </c>
      <c r="J92" s="24"/>
      <c r="K92" s="24">
        <f t="shared" si="6"/>
        <v>5899278</v>
      </c>
      <c r="L92" s="24"/>
      <c r="M92" s="24">
        <v>5954247</v>
      </c>
      <c r="N92" s="24"/>
      <c r="O92" s="24">
        <v>11853525</v>
      </c>
      <c r="P92" s="24"/>
      <c r="Q92" s="24">
        <v>22447174</v>
      </c>
      <c r="R92" s="24"/>
      <c r="S92" s="24">
        <f t="shared" si="7"/>
        <v>10799935</v>
      </c>
      <c r="T92" s="24"/>
      <c r="U92" s="24">
        <v>-2588182</v>
      </c>
      <c r="V92" s="24"/>
      <c r="W92" s="24">
        <v>30658927</v>
      </c>
      <c r="X92" s="24"/>
      <c r="Y92" s="24">
        <f t="shared" si="4"/>
        <v>0</v>
      </c>
    </row>
    <row r="93" spans="1:25" s="93" customFormat="1" ht="12.75" customHeight="1" hidden="1">
      <c r="A93" s="23" t="s">
        <v>79</v>
      </c>
      <c r="B93" s="23"/>
      <c r="C93" s="24">
        <f t="shared" si="5"/>
        <v>0</v>
      </c>
      <c r="D93" s="24"/>
      <c r="E93" s="24"/>
      <c r="F93" s="24"/>
      <c r="G93" s="24"/>
      <c r="H93" s="24"/>
      <c r="I93" s="24"/>
      <c r="J93" s="24"/>
      <c r="K93" s="24">
        <f t="shared" si="6"/>
        <v>0</v>
      </c>
      <c r="L93" s="24"/>
      <c r="M93" s="24"/>
      <c r="N93" s="24"/>
      <c r="O93" s="24"/>
      <c r="P93" s="24"/>
      <c r="Q93" s="24"/>
      <c r="R93" s="24"/>
      <c r="S93" s="24">
        <f t="shared" si="7"/>
        <v>0</v>
      </c>
      <c r="T93" s="24"/>
      <c r="U93" s="24"/>
      <c r="V93" s="24"/>
      <c r="W93" s="24"/>
      <c r="X93" s="24"/>
      <c r="Y93" s="24">
        <f t="shared" si="4"/>
        <v>0</v>
      </c>
    </row>
    <row r="94" spans="1:25" s="93" customFormat="1" ht="12.75" customHeight="1">
      <c r="A94" s="23" t="s">
        <v>80</v>
      </c>
      <c r="B94" s="23"/>
      <c r="C94" s="24">
        <f t="shared" si="5"/>
        <v>193093422</v>
      </c>
      <c r="D94" s="24"/>
      <c r="E94" s="24">
        <f>17848551+87507838</f>
        <v>105356389</v>
      </c>
      <c r="F94" s="24"/>
      <c r="G94" s="24">
        <v>0</v>
      </c>
      <c r="H94" s="24"/>
      <c r="I94" s="24">
        <v>298449811</v>
      </c>
      <c r="J94" s="24"/>
      <c r="K94" s="24">
        <f t="shared" si="6"/>
        <v>59368099</v>
      </c>
      <c r="L94" s="24"/>
      <c r="M94" s="24">
        <v>26967461</v>
      </c>
      <c r="N94" s="24"/>
      <c r="O94" s="24">
        <v>86335560</v>
      </c>
      <c r="P94" s="24"/>
      <c r="Q94" s="24">
        <v>84264510</v>
      </c>
      <c r="R94" s="24"/>
      <c r="S94" s="24">
        <f t="shared" si="7"/>
        <v>105859570</v>
      </c>
      <c r="T94" s="24"/>
      <c r="U94" s="24">
        <v>21990171</v>
      </c>
      <c r="V94" s="24"/>
      <c r="W94" s="24">
        <v>212114251</v>
      </c>
      <c r="X94" s="24"/>
      <c r="Y94" s="24">
        <f aca="true" t="shared" si="8" ref="Y94:Y99">I94-O94-W94</f>
        <v>0</v>
      </c>
    </row>
    <row r="95" spans="1:25" s="93" customFormat="1" ht="12.75" customHeight="1">
      <c r="A95" s="23" t="s">
        <v>81</v>
      </c>
      <c r="B95" s="23"/>
      <c r="C95" s="24">
        <f t="shared" si="5"/>
        <v>45480729</v>
      </c>
      <c r="D95" s="24"/>
      <c r="E95" s="24">
        <f>125902227+16139964</f>
        <v>142042191</v>
      </c>
      <c r="F95" s="24"/>
      <c r="G95" s="24">
        <v>106638</v>
      </c>
      <c r="H95" s="24"/>
      <c r="I95" s="24">
        <v>187629558</v>
      </c>
      <c r="J95" s="24"/>
      <c r="K95" s="24">
        <f t="shared" si="6"/>
        <v>12197429</v>
      </c>
      <c r="L95" s="24"/>
      <c r="M95" s="24">
        <v>4856926</v>
      </c>
      <c r="N95" s="24"/>
      <c r="O95" s="24">
        <v>17054355</v>
      </c>
      <c r="P95" s="24"/>
      <c r="Q95" s="24">
        <v>137458536</v>
      </c>
      <c r="R95" s="24"/>
      <c r="S95" s="24">
        <f t="shared" si="7"/>
        <v>20440528</v>
      </c>
      <c r="T95" s="24"/>
      <c r="U95" s="24">
        <v>12676139</v>
      </c>
      <c r="V95" s="24"/>
      <c r="W95" s="24">
        <v>170575203</v>
      </c>
      <c r="X95" s="24"/>
      <c r="Y95" s="24">
        <f t="shared" si="8"/>
        <v>0</v>
      </c>
    </row>
    <row r="96" spans="1:25" s="93" customFormat="1" ht="12.75" customHeight="1">
      <c r="A96" s="23" t="s">
        <v>82</v>
      </c>
      <c r="B96" s="23"/>
      <c r="C96" s="24">
        <f t="shared" si="5"/>
        <v>60989127</v>
      </c>
      <c r="D96" s="24"/>
      <c r="E96" s="24">
        <f>5781782+79000044</f>
        <v>84781826</v>
      </c>
      <c r="F96" s="24"/>
      <c r="G96" s="24">
        <v>0</v>
      </c>
      <c r="H96" s="24"/>
      <c r="I96" s="24">
        <v>145770953</v>
      </c>
      <c r="J96" s="24"/>
      <c r="K96" s="24">
        <f t="shared" si="6"/>
        <v>20654816</v>
      </c>
      <c r="L96" s="24"/>
      <c r="M96" s="24">
        <v>9449712</v>
      </c>
      <c r="N96" s="24"/>
      <c r="O96" s="24">
        <v>30104528</v>
      </c>
      <c r="P96" s="24"/>
      <c r="Q96" s="24">
        <v>76893619</v>
      </c>
      <c r="R96" s="24"/>
      <c r="S96" s="24">
        <f t="shared" si="7"/>
        <v>32148993</v>
      </c>
      <c r="T96" s="24"/>
      <c r="U96" s="24">
        <v>6623813</v>
      </c>
      <c r="V96" s="24"/>
      <c r="W96" s="24">
        <v>115666425</v>
      </c>
      <c r="X96" s="24"/>
      <c r="Y96" s="24">
        <f t="shared" si="8"/>
        <v>0</v>
      </c>
    </row>
    <row r="97" spans="1:25" s="93" customFormat="1" ht="12.75" customHeight="1" hidden="1">
      <c r="A97" s="23" t="s">
        <v>173</v>
      </c>
      <c r="B97" s="23"/>
      <c r="C97" s="24">
        <f t="shared" si="5"/>
        <v>0</v>
      </c>
      <c r="D97" s="24"/>
      <c r="E97" s="24"/>
      <c r="F97" s="24"/>
      <c r="G97" s="24"/>
      <c r="H97" s="24"/>
      <c r="I97" s="24"/>
      <c r="J97" s="24"/>
      <c r="K97" s="24">
        <f t="shared" si="6"/>
        <v>0</v>
      </c>
      <c r="L97" s="24"/>
      <c r="M97" s="24"/>
      <c r="N97" s="24"/>
      <c r="O97" s="24"/>
      <c r="P97" s="24"/>
      <c r="Q97" s="24"/>
      <c r="R97" s="24"/>
      <c r="S97" s="24">
        <f t="shared" si="7"/>
        <v>0</v>
      </c>
      <c r="T97" s="24"/>
      <c r="U97" s="24"/>
      <c r="V97" s="24"/>
      <c r="W97" s="24"/>
      <c r="X97" s="24"/>
      <c r="Y97" s="24">
        <f t="shared" si="8"/>
        <v>0</v>
      </c>
    </row>
    <row r="98" spans="1:25" s="93" customFormat="1" ht="12.75" customHeight="1">
      <c r="A98" s="23" t="s">
        <v>83</v>
      </c>
      <c r="B98" s="23"/>
      <c r="C98" s="24">
        <f t="shared" si="5"/>
        <v>135459192</v>
      </c>
      <c r="D98" s="24"/>
      <c r="E98" s="24">
        <f>4070957+72137530</f>
        <v>76208487</v>
      </c>
      <c r="F98" s="24"/>
      <c r="G98" s="24">
        <v>0</v>
      </c>
      <c r="H98" s="24"/>
      <c r="I98" s="24">
        <v>211667679</v>
      </c>
      <c r="J98" s="24"/>
      <c r="K98" s="24">
        <f t="shared" si="6"/>
        <v>36670952</v>
      </c>
      <c r="L98" s="24"/>
      <c r="M98" s="24">
        <v>7132930</v>
      </c>
      <c r="N98" s="24"/>
      <c r="O98" s="24">
        <v>43803882</v>
      </c>
      <c r="P98" s="24"/>
      <c r="Q98" s="24">
        <v>75203774</v>
      </c>
      <c r="R98" s="24"/>
      <c r="S98" s="24">
        <f t="shared" si="7"/>
        <v>58204608</v>
      </c>
      <c r="T98" s="24"/>
      <c r="U98" s="24">
        <v>34455415</v>
      </c>
      <c r="V98" s="24"/>
      <c r="W98" s="24">
        <v>167863797</v>
      </c>
      <c r="X98" s="24"/>
      <c r="Y98" s="24">
        <f t="shared" si="8"/>
        <v>0</v>
      </c>
    </row>
    <row r="99" spans="1:25" ht="12" hidden="1">
      <c r="A99" s="23" t="s">
        <v>174</v>
      </c>
      <c r="B99" s="23"/>
      <c r="C99" s="24">
        <f>+I99-E99-G99</f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f>+O99-M99</f>
        <v>0</v>
      </c>
      <c r="M99" s="24">
        <v>0</v>
      </c>
      <c r="O99" s="24">
        <v>0</v>
      </c>
      <c r="Q99" s="24">
        <v>0</v>
      </c>
      <c r="S99" s="24">
        <f>W99-U99-Q99</f>
        <v>0</v>
      </c>
      <c r="U99" s="24">
        <v>0</v>
      </c>
      <c r="W99" s="24">
        <v>0</v>
      </c>
      <c r="X99" s="24"/>
      <c r="Y99" s="24">
        <f t="shared" si="8"/>
        <v>0</v>
      </c>
    </row>
    <row r="100" spans="1:25" ht="12">
      <c r="A100" s="23"/>
      <c r="B100" s="23"/>
      <c r="C100" s="24"/>
      <c r="D100" s="5"/>
      <c r="E100" s="5"/>
      <c r="F100" s="5"/>
      <c r="G100" s="5"/>
      <c r="H100" s="5"/>
      <c r="I100" s="5"/>
      <c r="J100" s="5"/>
      <c r="X100" s="24"/>
      <c r="Y100" s="33"/>
    </row>
    <row r="101" spans="1:25" ht="12">
      <c r="A101" s="23"/>
      <c r="B101" s="23"/>
      <c r="C101" s="24"/>
      <c r="D101" s="5"/>
      <c r="E101" s="5"/>
      <c r="F101" s="5"/>
      <c r="G101" s="5"/>
      <c r="H101" s="5"/>
      <c r="I101" s="5"/>
      <c r="J101" s="5"/>
      <c r="X101" s="24"/>
      <c r="Y101" s="33"/>
    </row>
    <row r="102" spans="1:25" ht="12">
      <c r="A102" s="33"/>
      <c r="B102" s="33"/>
      <c r="C102" s="24"/>
      <c r="D102" s="5"/>
      <c r="E102" s="5"/>
      <c r="F102" s="5"/>
      <c r="G102" s="5"/>
      <c r="H102" s="5"/>
      <c r="I102" s="5"/>
      <c r="J102" s="5"/>
      <c r="X102" s="24"/>
      <c r="Y102" s="33"/>
    </row>
    <row r="103" spans="1:25" ht="12">
      <c r="A103" s="33"/>
      <c r="B103" s="33"/>
      <c r="C103" s="24"/>
      <c r="D103" s="5"/>
      <c r="E103" s="5"/>
      <c r="F103" s="5"/>
      <c r="G103" s="5"/>
      <c r="H103" s="5"/>
      <c r="I103" s="5"/>
      <c r="J103" s="5"/>
      <c r="X103" s="24"/>
      <c r="Y103" s="33"/>
    </row>
    <row r="104" spans="1:25" ht="12">
      <c r="A104" s="33"/>
      <c r="B104" s="33"/>
      <c r="C104" s="24"/>
      <c r="D104" s="5"/>
      <c r="E104" s="5"/>
      <c r="F104" s="5"/>
      <c r="G104" s="5"/>
      <c r="H104" s="5"/>
      <c r="I104" s="5"/>
      <c r="J104" s="5"/>
      <c r="X104" s="24"/>
      <c r="Y104" s="33"/>
    </row>
    <row r="105" spans="1:25" ht="12">
      <c r="A105" s="33"/>
      <c r="B105" s="33"/>
      <c r="C105" s="24"/>
      <c r="D105" s="5"/>
      <c r="E105" s="5"/>
      <c r="F105" s="5"/>
      <c r="G105" s="5"/>
      <c r="H105" s="5"/>
      <c r="I105" s="5"/>
      <c r="J105" s="5"/>
      <c r="X105" s="24"/>
      <c r="Y105" s="33"/>
    </row>
    <row r="106" spans="1:25" ht="12">
      <c r="A106" s="33"/>
      <c r="B106" s="33"/>
      <c r="C106" s="24"/>
      <c r="D106" s="5"/>
      <c r="E106" s="5"/>
      <c r="F106" s="5"/>
      <c r="G106" s="5"/>
      <c r="H106" s="5"/>
      <c r="I106" s="5"/>
      <c r="J106" s="5"/>
      <c r="X106" s="24"/>
      <c r="Y106" s="33"/>
    </row>
    <row r="107" spans="1:25" ht="12">
      <c r="A107" s="33"/>
      <c r="B107" s="33"/>
      <c r="C107" s="24"/>
      <c r="D107" s="5"/>
      <c r="E107" s="5"/>
      <c r="F107" s="5"/>
      <c r="G107" s="5"/>
      <c r="H107" s="5"/>
      <c r="I107" s="5"/>
      <c r="J107" s="5"/>
      <c r="X107" s="24"/>
      <c r="Y107" s="33"/>
    </row>
    <row r="108" spans="1:25" ht="12">
      <c r="A108" s="33"/>
      <c r="B108" s="33"/>
      <c r="C108" s="24"/>
      <c r="D108" s="5"/>
      <c r="E108" s="5"/>
      <c r="F108" s="5"/>
      <c r="G108" s="5"/>
      <c r="H108" s="5"/>
      <c r="I108" s="5"/>
      <c r="J108" s="5"/>
      <c r="X108" s="24"/>
      <c r="Y108" s="33"/>
    </row>
    <row r="109" spans="1:25" ht="12">
      <c r="A109" s="33"/>
      <c r="B109" s="33"/>
      <c r="C109" s="24"/>
      <c r="D109" s="5"/>
      <c r="E109" s="5"/>
      <c r="F109" s="5"/>
      <c r="G109" s="5"/>
      <c r="H109" s="5"/>
      <c r="I109" s="5"/>
      <c r="J109" s="5"/>
      <c r="X109" s="24"/>
      <c r="Y109" s="33"/>
    </row>
    <row r="110" spans="1:25" ht="12">
      <c r="A110" s="33"/>
      <c r="B110" s="33"/>
      <c r="C110" s="24"/>
      <c r="D110" s="5"/>
      <c r="E110" s="5"/>
      <c r="F110" s="5"/>
      <c r="G110" s="5"/>
      <c r="H110" s="5"/>
      <c r="I110" s="5"/>
      <c r="J110" s="5"/>
      <c r="X110" s="24"/>
      <c r="Y110" s="33"/>
    </row>
    <row r="111" spans="1:25" ht="12">
      <c r="A111" s="33"/>
      <c r="B111" s="33"/>
      <c r="C111" s="24"/>
      <c r="D111" s="5"/>
      <c r="E111" s="5"/>
      <c r="F111" s="5"/>
      <c r="G111" s="5"/>
      <c r="H111" s="5"/>
      <c r="I111" s="5"/>
      <c r="J111" s="5"/>
      <c r="X111" s="24"/>
      <c r="Y111" s="33"/>
    </row>
    <row r="112" spans="1:25" ht="12">
      <c r="A112" s="33"/>
      <c r="B112" s="33"/>
      <c r="C112" s="24"/>
      <c r="D112" s="5"/>
      <c r="E112" s="5"/>
      <c r="F112" s="5"/>
      <c r="G112" s="5"/>
      <c r="H112" s="5"/>
      <c r="I112" s="5"/>
      <c r="J112" s="5"/>
      <c r="X112" s="24"/>
      <c r="Y112" s="33"/>
    </row>
    <row r="113" spans="1:25" ht="12">
      <c r="A113" s="33"/>
      <c r="B113" s="33"/>
      <c r="C113" s="24"/>
      <c r="D113" s="5"/>
      <c r="E113" s="5"/>
      <c r="F113" s="5"/>
      <c r="G113" s="5"/>
      <c r="H113" s="5"/>
      <c r="I113" s="5"/>
      <c r="J113" s="5"/>
      <c r="X113" s="24"/>
      <c r="Y113" s="33"/>
    </row>
    <row r="114" spans="1:25" ht="12">
      <c r="A114" s="33"/>
      <c r="B114" s="33"/>
      <c r="C114" s="24"/>
      <c r="D114" s="5"/>
      <c r="E114" s="5"/>
      <c r="F114" s="5"/>
      <c r="G114" s="5"/>
      <c r="H114" s="5"/>
      <c r="I114" s="5"/>
      <c r="J114" s="5"/>
      <c r="X114" s="24"/>
      <c r="Y114" s="33"/>
    </row>
    <row r="115" spans="1:25" ht="12">
      <c r="A115" s="33"/>
      <c r="B115" s="33"/>
      <c r="C115" s="24"/>
      <c r="D115" s="5"/>
      <c r="E115" s="5"/>
      <c r="F115" s="5"/>
      <c r="G115" s="5"/>
      <c r="H115" s="5"/>
      <c r="I115" s="5"/>
      <c r="J115" s="5"/>
      <c r="X115" s="24"/>
      <c r="Y115" s="33"/>
    </row>
  </sheetData>
  <sheetProtection/>
  <printOptions horizontalCentered="1"/>
  <pageMargins left="1" right="1" top="0.5" bottom="0.5" header="0" footer="0.25"/>
  <pageSetup firstPageNumber="4" useFirstPageNumber="1" horizontalDpi="600" verticalDpi="600" orientation="portrait" pageOrder="overThenDown" scale="95" r:id="rId1"/>
  <headerFooter scaleWithDoc="0" alignWithMargins="0">
    <oddFooter>&amp;C&amp;"Times New Roman,Regular"&amp;11&amp;P</oddFooter>
  </headerFooter>
  <rowBreaks count="1" manualBreakCount="1">
    <brk id="80" max="22" man="1"/>
  </rowBreaks>
  <colBreaks count="1" manualBreakCount="1">
    <brk id="11" max="9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V115"/>
  <sheetViews>
    <sheetView zoomScalePageLayoutView="0" workbookViewId="0" topLeftCell="A1">
      <pane xSplit="1" ySplit="9" topLeftCell="B10" activePane="bottomRight" state="frozen"/>
      <selection pane="topLeft" activeCell="AX17" sqref="AX17"/>
      <selection pane="topRight" activeCell="AX17" sqref="AX17"/>
      <selection pane="bottomLeft" activeCell="AX17" sqref="AX17"/>
      <selection pane="bottomRight" activeCell="AX4" sqref="AX4"/>
    </sheetView>
  </sheetViews>
  <sheetFormatPr defaultColWidth="8.421875" defaultRowHeight="12.75"/>
  <cols>
    <col min="1" max="1" width="15.7109375" style="99" customWidth="1"/>
    <col min="2" max="2" width="1.7109375" style="99" customWidth="1"/>
    <col min="3" max="3" width="11.7109375" style="99" customWidth="1"/>
    <col min="4" max="4" width="1.7109375" style="99" customWidth="1"/>
    <col min="5" max="5" width="11.7109375" style="99" customWidth="1"/>
    <col min="6" max="6" width="1.7109375" style="99" customWidth="1"/>
    <col min="7" max="7" width="11.7109375" style="99" customWidth="1"/>
    <col min="8" max="8" width="1.7109375" style="99" customWidth="1"/>
    <col min="9" max="9" width="11.7109375" style="99" customWidth="1"/>
    <col min="10" max="10" width="1.7109375" style="99" customWidth="1"/>
    <col min="11" max="11" width="11.7109375" style="99" customWidth="1"/>
    <col min="12" max="12" width="1.7109375" style="99" hidden="1" customWidth="1"/>
    <col min="13" max="13" width="11.7109375" style="99" customWidth="1"/>
    <col min="14" max="14" width="1.7109375" style="99" customWidth="1"/>
    <col min="15" max="15" width="11.7109375" style="99" customWidth="1"/>
    <col min="16" max="16" width="1.7109375" style="99" customWidth="1"/>
    <col min="17" max="17" width="11.7109375" style="99" customWidth="1"/>
    <col min="18" max="18" width="1.7109375" style="99" customWidth="1"/>
    <col min="19" max="19" width="11.7109375" style="99" customWidth="1"/>
    <col min="20" max="20" width="1.7109375" style="99" customWidth="1"/>
    <col min="21" max="21" width="11.7109375" style="99" customWidth="1"/>
    <col min="22" max="22" width="11.7109375" style="99" hidden="1" customWidth="1"/>
    <col min="23" max="23" width="1.7109375" style="99" hidden="1" customWidth="1"/>
    <col min="24" max="24" width="11.7109375" style="99" customWidth="1"/>
    <col min="25" max="25" width="1.7109375" style="99" customWidth="1"/>
    <col min="26" max="26" width="11.7109375" style="99" customWidth="1"/>
    <col min="27" max="27" width="1.7109375" style="99" customWidth="1"/>
    <col min="28" max="28" width="11.7109375" style="85" customWidth="1"/>
    <col min="29" max="29" width="1.7109375" style="85" customWidth="1"/>
    <col min="30" max="30" width="11.7109375" style="85" customWidth="1"/>
    <col min="31" max="31" width="1.7109375" style="85" customWidth="1"/>
    <col min="32" max="32" width="11.7109375" style="85" customWidth="1"/>
    <col min="33" max="33" width="1.7109375" style="85" customWidth="1"/>
    <col min="34" max="34" width="11.7109375" style="85" customWidth="1"/>
    <col min="35" max="35" width="1.7109375" style="85" hidden="1" customWidth="1"/>
    <col min="36" max="36" width="11.7109375" style="85" customWidth="1"/>
    <col min="37" max="37" width="1.7109375" style="85" customWidth="1"/>
    <col min="38" max="38" width="11.7109375" style="85" customWidth="1"/>
    <col min="39" max="39" width="1.7109375" style="85" customWidth="1"/>
    <col min="40" max="40" width="11.7109375" style="79" customWidth="1"/>
    <col min="41" max="41" width="1.7109375" style="79" customWidth="1"/>
    <col min="42" max="42" width="11.7109375" style="79" customWidth="1"/>
    <col min="43" max="43" width="1.7109375" style="79" customWidth="1"/>
    <col min="44" max="44" width="11.7109375" style="79" hidden="1" customWidth="1"/>
    <col min="45" max="45" width="1.7109375" style="79" hidden="1" customWidth="1"/>
    <col min="46" max="46" width="11.7109375" style="79" hidden="1" customWidth="1"/>
    <col min="47" max="47" width="1.7109375" style="79" hidden="1" customWidth="1"/>
    <col min="48" max="48" width="11.7109375" style="79" customWidth="1"/>
    <col min="49" max="49" width="2.421875" style="79" hidden="1" customWidth="1"/>
    <col min="50" max="50" width="14.140625" style="79" customWidth="1"/>
    <col min="51" max="51" width="1.7109375" style="79" customWidth="1"/>
    <col min="52" max="52" width="11.7109375" style="79" customWidth="1"/>
    <col min="53" max="53" width="1.7109375" style="79" customWidth="1"/>
    <col min="54" max="54" width="11.7109375" style="79" customWidth="1"/>
    <col min="55" max="55" width="1.7109375" style="79" customWidth="1"/>
    <col min="56" max="56" width="11.7109375" style="79" customWidth="1"/>
    <col min="57" max="57" width="1.7109375" style="79" customWidth="1"/>
    <col min="58" max="58" width="11.7109375" style="79" customWidth="1"/>
    <col min="59" max="59" width="1.7109375" style="79" hidden="1" customWidth="1"/>
    <col min="60" max="60" width="11.7109375" style="79" hidden="1" customWidth="1"/>
    <col min="61" max="61" width="1.7109375" style="79" customWidth="1"/>
    <col min="62" max="62" width="11.7109375" style="79" customWidth="1"/>
    <col min="63" max="63" width="13.57421875" style="79" customWidth="1"/>
    <col min="64" max="16384" width="8.421875" style="79" customWidth="1"/>
  </cols>
  <sheetData>
    <row r="1" spans="1:50" s="64" customFormat="1" ht="12.75">
      <c r="A1" s="63" t="s">
        <v>194</v>
      </c>
      <c r="B1" s="8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05" t="s">
        <v>194</v>
      </c>
      <c r="Y1" s="106"/>
      <c r="Z1" s="106"/>
      <c r="AA1" s="59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X1" s="107" t="s">
        <v>194</v>
      </c>
    </row>
    <row r="2" spans="1:50" s="64" customFormat="1" ht="12.75">
      <c r="A2" s="63" t="s">
        <v>136</v>
      </c>
      <c r="B2" s="8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63" t="s">
        <v>248</v>
      </c>
      <c r="Y2" s="106"/>
      <c r="Z2" s="106"/>
      <c r="AA2" s="59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X2" s="107" t="s">
        <v>102</v>
      </c>
    </row>
    <row r="3" spans="1:50" s="64" customFormat="1" ht="12.75">
      <c r="A3" s="63" t="s">
        <v>251</v>
      </c>
      <c r="B3" s="8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7" t="s">
        <v>251</v>
      </c>
      <c r="Y3" s="106"/>
      <c r="Z3" s="106"/>
      <c r="AA3" s="59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X3" s="63" t="s">
        <v>259</v>
      </c>
    </row>
    <row r="4" spans="1:50" s="36" customFormat="1" ht="12">
      <c r="A4" s="89"/>
      <c r="B4" s="89"/>
      <c r="C4" s="89"/>
      <c r="D4" s="89"/>
      <c r="E4" s="89"/>
      <c r="F4" s="89"/>
      <c r="G4" s="89"/>
      <c r="H4" s="8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89"/>
      <c r="AA4" s="23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X4" s="90"/>
    </row>
    <row r="5" spans="1:50" s="36" customFormat="1" ht="12">
      <c r="A5" s="57" t="s">
        <v>183</v>
      </c>
      <c r="B5" s="89"/>
      <c r="C5" s="89"/>
      <c r="D5" s="89"/>
      <c r="E5" s="89"/>
      <c r="F5" s="89"/>
      <c r="G5" s="89"/>
      <c r="H5" s="89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57"/>
      <c r="AA5" s="23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X5" s="57" t="s">
        <v>183</v>
      </c>
    </row>
    <row r="6" spans="1:62" s="36" customFormat="1" ht="12">
      <c r="A6" s="19"/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0" t="s">
        <v>137</v>
      </c>
      <c r="P6" s="50"/>
      <c r="Q6" s="50"/>
      <c r="R6" s="50"/>
      <c r="S6" s="50"/>
      <c r="T6" s="50"/>
      <c r="U6" s="50"/>
      <c r="V6" s="5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50" t="s">
        <v>102</v>
      </c>
      <c r="BA6" s="50"/>
      <c r="BB6" s="50"/>
      <c r="BC6" s="50"/>
      <c r="BD6" s="50"/>
      <c r="BE6" s="50"/>
      <c r="BF6" s="50"/>
      <c r="BG6" s="51"/>
      <c r="BH6" s="51"/>
      <c r="BI6" s="51"/>
      <c r="BJ6" s="17"/>
    </row>
    <row r="7" spans="1:62" s="36" customFormat="1" ht="12">
      <c r="A7" s="19"/>
      <c r="B7" s="1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U7" s="21" t="s">
        <v>4</v>
      </c>
      <c r="V7" s="21"/>
      <c r="W7" s="108" t="s">
        <v>193</v>
      </c>
      <c r="X7" s="51"/>
      <c r="Y7" s="5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 t="s">
        <v>189</v>
      </c>
      <c r="AQ7" s="21"/>
      <c r="AR7" s="21" t="s">
        <v>154</v>
      </c>
      <c r="AS7" s="21"/>
      <c r="AT7" s="21" t="s">
        <v>154</v>
      </c>
      <c r="AU7" s="21"/>
      <c r="AV7" s="21"/>
      <c r="AW7" s="21"/>
      <c r="AX7" s="21"/>
      <c r="AY7" s="21"/>
      <c r="AZ7" s="21" t="s">
        <v>103</v>
      </c>
      <c r="BA7" s="21"/>
      <c r="BB7" s="21" t="s">
        <v>104</v>
      </c>
      <c r="BC7" s="21"/>
      <c r="BD7" s="21"/>
      <c r="BE7" s="21"/>
      <c r="BF7" s="21" t="s">
        <v>105</v>
      </c>
      <c r="BG7" s="21"/>
      <c r="BH7" s="21" t="s">
        <v>190</v>
      </c>
      <c r="BI7" s="21"/>
      <c r="BJ7" s="21" t="s">
        <v>4</v>
      </c>
    </row>
    <row r="8" spans="1:62" s="36" customFormat="1" ht="12">
      <c r="A8" s="19"/>
      <c r="B8" s="19"/>
      <c r="C8" s="21" t="s">
        <v>134</v>
      </c>
      <c r="D8" s="21"/>
      <c r="E8" s="21" t="s">
        <v>155</v>
      </c>
      <c r="F8" s="21"/>
      <c r="G8" s="21" t="s">
        <v>4</v>
      </c>
      <c r="H8" s="21"/>
      <c r="I8" s="21" t="s">
        <v>134</v>
      </c>
      <c r="J8" s="21"/>
      <c r="K8" s="21" t="s">
        <v>155</v>
      </c>
      <c r="L8" s="21"/>
      <c r="M8" s="21" t="s">
        <v>4</v>
      </c>
      <c r="N8" s="21"/>
      <c r="O8" s="21" t="s">
        <v>138</v>
      </c>
      <c r="P8" s="21"/>
      <c r="Q8" s="21"/>
      <c r="R8" s="21"/>
      <c r="S8" s="21"/>
      <c r="T8" s="21"/>
      <c r="U8" s="21" t="s">
        <v>231</v>
      </c>
      <c r="V8" s="21"/>
      <c r="W8" s="21"/>
      <c r="X8" s="21"/>
      <c r="Y8" s="21"/>
      <c r="Z8" s="21" t="s">
        <v>101</v>
      </c>
      <c r="AA8" s="21"/>
      <c r="AB8" s="21" t="s">
        <v>156</v>
      </c>
      <c r="AC8" s="21"/>
      <c r="AD8" s="21"/>
      <c r="AE8" s="21"/>
      <c r="AF8" s="21" t="s">
        <v>101</v>
      </c>
      <c r="AG8" s="21"/>
      <c r="AH8" s="21" t="s">
        <v>157</v>
      </c>
      <c r="AI8" s="21"/>
      <c r="AJ8" s="21" t="s">
        <v>101</v>
      </c>
      <c r="AK8" s="21"/>
      <c r="AL8" s="21" t="s">
        <v>101</v>
      </c>
      <c r="AM8" s="21"/>
      <c r="AN8" s="21" t="s">
        <v>87</v>
      </c>
      <c r="AO8" s="21"/>
      <c r="AP8" s="21" t="s">
        <v>230</v>
      </c>
      <c r="AQ8" s="21"/>
      <c r="AR8" s="21" t="s">
        <v>158</v>
      </c>
      <c r="AS8" s="21"/>
      <c r="AT8" s="21" t="s">
        <v>158</v>
      </c>
      <c r="AU8" s="21"/>
      <c r="AV8" s="21" t="s">
        <v>106</v>
      </c>
      <c r="AW8" s="21"/>
      <c r="AX8" s="21"/>
      <c r="AY8" s="21"/>
      <c r="AZ8" s="21" t="s">
        <v>107</v>
      </c>
      <c r="BA8" s="21"/>
      <c r="BB8" s="21" t="s">
        <v>12</v>
      </c>
      <c r="BC8" s="21"/>
      <c r="BD8" s="21"/>
      <c r="BE8" s="21"/>
      <c r="BF8" s="21" t="s">
        <v>108</v>
      </c>
      <c r="BG8" s="21"/>
      <c r="BH8" s="21" t="s">
        <v>191</v>
      </c>
      <c r="BI8" s="21"/>
      <c r="BJ8" s="21" t="s">
        <v>108</v>
      </c>
    </row>
    <row r="9" spans="1:62" s="36" customFormat="1" ht="12">
      <c r="A9" s="22" t="s">
        <v>5</v>
      </c>
      <c r="B9" s="19"/>
      <c r="C9" s="20" t="s">
        <v>116</v>
      </c>
      <c r="D9" s="21"/>
      <c r="E9" s="20" t="s">
        <v>116</v>
      </c>
      <c r="F9" s="21"/>
      <c r="G9" s="20" t="s">
        <v>116</v>
      </c>
      <c r="H9" s="21"/>
      <c r="I9" s="20" t="s">
        <v>121</v>
      </c>
      <c r="J9" s="21"/>
      <c r="K9" s="20" t="s">
        <v>121</v>
      </c>
      <c r="L9" s="21"/>
      <c r="M9" s="20" t="s">
        <v>121</v>
      </c>
      <c r="N9" s="21"/>
      <c r="O9" s="20" t="s">
        <v>140</v>
      </c>
      <c r="P9" s="21"/>
      <c r="Q9" s="20" t="s">
        <v>141</v>
      </c>
      <c r="R9" s="21"/>
      <c r="S9" s="20" t="s">
        <v>142</v>
      </c>
      <c r="T9" s="21"/>
      <c r="U9" s="20" t="s">
        <v>116</v>
      </c>
      <c r="V9" s="21"/>
      <c r="W9" s="21"/>
      <c r="X9" s="22" t="s">
        <v>5</v>
      </c>
      <c r="Y9" s="21"/>
      <c r="Z9" s="20" t="s">
        <v>12</v>
      </c>
      <c r="AA9" s="21"/>
      <c r="AB9" s="20" t="s">
        <v>109</v>
      </c>
      <c r="AC9" s="21"/>
      <c r="AD9" s="20" t="s">
        <v>109</v>
      </c>
      <c r="AE9" s="21"/>
      <c r="AF9" s="20" t="s">
        <v>110</v>
      </c>
      <c r="AG9" s="21"/>
      <c r="AH9" s="20" t="s">
        <v>159</v>
      </c>
      <c r="AI9" s="21"/>
      <c r="AJ9" s="20" t="s">
        <v>111</v>
      </c>
      <c r="AK9" s="21"/>
      <c r="AL9" s="20" t="s">
        <v>112</v>
      </c>
      <c r="AM9" s="21"/>
      <c r="AN9" s="20" t="s">
        <v>160</v>
      </c>
      <c r="AO9" s="21"/>
      <c r="AP9" s="20" t="s">
        <v>137</v>
      </c>
      <c r="AQ9" s="21"/>
      <c r="AR9" s="20" t="s">
        <v>161</v>
      </c>
      <c r="AS9" s="21"/>
      <c r="AT9" s="20" t="s">
        <v>162</v>
      </c>
      <c r="AU9" s="21"/>
      <c r="AV9" s="20" t="s">
        <v>87</v>
      </c>
      <c r="AW9" s="21"/>
      <c r="AX9" s="22" t="s">
        <v>5</v>
      </c>
      <c r="AY9" s="21"/>
      <c r="AZ9" s="20" t="s">
        <v>113</v>
      </c>
      <c r="BA9" s="21"/>
      <c r="BB9" s="20" t="s">
        <v>113</v>
      </c>
      <c r="BC9" s="21"/>
      <c r="BD9" s="20" t="s">
        <v>114</v>
      </c>
      <c r="BE9" s="21"/>
      <c r="BF9" s="20" t="s">
        <v>115</v>
      </c>
      <c r="BG9" s="21"/>
      <c r="BH9" s="20" t="s">
        <v>192</v>
      </c>
      <c r="BI9" s="21"/>
      <c r="BJ9" s="20" t="s">
        <v>121</v>
      </c>
    </row>
    <row r="10" spans="1:62" s="36" customFormat="1" ht="12">
      <c r="A10" s="19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9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19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1" spans="1:62" s="36" customFormat="1" ht="12" hidden="1">
      <c r="A11" s="89" t="s">
        <v>235</v>
      </c>
      <c r="B11" s="19"/>
      <c r="C11" s="35">
        <f aca="true" t="shared" si="0" ref="C11:C16">+G11-E11</f>
        <v>0</v>
      </c>
      <c r="D11" s="35"/>
      <c r="E11" s="35"/>
      <c r="F11" s="35"/>
      <c r="G11" s="35"/>
      <c r="H11" s="35"/>
      <c r="I11" s="35">
        <f>+M11-K11</f>
        <v>0</v>
      </c>
      <c r="J11" s="35"/>
      <c r="K11" s="35">
        <f>SUM(BJ11)</f>
        <v>0</v>
      </c>
      <c r="L11" s="35"/>
      <c r="M11" s="35"/>
      <c r="N11" s="35"/>
      <c r="O11" s="35"/>
      <c r="P11" s="35"/>
      <c r="Q11" s="35"/>
      <c r="R11" s="35"/>
      <c r="S11" s="35"/>
      <c r="T11" s="35"/>
      <c r="U11" s="35">
        <f>SUM(O11:S11)</f>
        <v>0</v>
      </c>
      <c r="V11" s="35"/>
      <c r="W11" s="35"/>
      <c r="X11" s="23" t="s">
        <v>235</v>
      </c>
      <c r="Y11" s="35"/>
      <c r="Z11" s="35"/>
      <c r="AA11" s="35"/>
      <c r="AB11" s="35"/>
      <c r="AC11" s="35"/>
      <c r="AD11" s="35"/>
      <c r="AE11" s="35"/>
      <c r="AF11" s="35">
        <f>+Z11-AB11-AD11</f>
        <v>0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>
        <f aca="true" t="shared" si="1" ref="AP11:AP16">+AN11+AJ11+AH11+AF11-AL11</f>
        <v>0</v>
      </c>
      <c r="AQ11" s="35"/>
      <c r="AR11" s="35"/>
      <c r="AS11" s="35"/>
      <c r="AT11" s="35"/>
      <c r="AU11" s="35"/>
      <c r="AV11" s="35">
        <f>C11-I11</f>
        <v>0</v>
      </c>
      <c r="AW11" s="35"/>
      <c r="AX11" s="23" t="s">
        <v>235</v>
      </c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17">
        <f>SUM(AZ11:BF11)+BH11</f>
        <v>0</v>
      </c>
    </row>
    <row r="12" spans="1:62" s="36" customFormat="1" ht="12" hidden="1">
      <c r="A12" s="23" t="s">
        <v>13</v>
      </c>
      <c r="B12" s="23"/>
      <c r="C12" s="74">
        <f t="shared" si="0"/>
        <v>0</v>
      </c>
      <c r="D12" s="35"/>
      <c r="E12" s="74">
        <v>0</v>
      </c>
      <c r="F12" s="35"/>
      <c r="G12" s="74">
        <v>0</v>
      </c>
      <c r="H12" s="35"/>
      <c r="I12" s="74">
        <f>+M12-K12</f>
        <v>0</v>
      </c>
      <c r="J12" s="35"/>
      <c r="K12" s="74">
        <v>0</v>
      </c>
      <c r="L12" s="35"/>
      <c r="M12" s="74">
        <v>0</v>
      </c>
      <c r="N12" s="35"/>
      <c r="O12" s="74">
        <v>0</v>
      </c>
      <c r="P12" s="35"/>
      <c r="Q12" s="74">
        <v>0</v>
      </c>
      <c r="R12" s="35"/>
      <c r="S12" s="74">
        <v>0</v>
      </c>
      <c r="T12" s="35"/>
      <c r="U12" s="74">
        <f>SUM(O12:S12)</f>
        <v>0</v>
      </c>
      <c r="V12" s="35"/>
      <c r="W12" s="35"/>
      <c r="X12" s="23" t="s">
        <v>13</v>
      </c>
      <c r="Y12" s="35"/>
      <c r="Z12" s="74">
        <v>0</v>
      </c>
      <c r="AA12" s="35"/>
      <c r="AB12" s="74">
        <v>0</v>
      </c>
      <c r="AC12" s="35"/>
      <c r="AD12" s="74">
        <v>0</v>
      </c>
      <c r="AE12" s="35"/>
      <c r="AF12" s="74">
        <f>+Z12-AB12-AD12</f>
        <v>0</v>
      </c>
      <c r="AG12" s="35"/>
      <c r="AH12" s="74">
        <v>0</v>
      </c>
      <c r="AI12" s="35"/>
      <c r="AJ12" s="74">
        <v>0</v>
      </c>
      <c r="AK12" s="35"/>
      <c r="AL12" s="74">
        <v>0</v>
      </c>
      <c r="AM12" s="35"/>
      <c r="AN12" s="74">
        <v>0</v>
      </c>
      <c r="AO12" s="35"/>
      <c r="AP12" s="74">
        <f t="shared" si="1"/>
        <v>0</v>
      </c>
      <c r="AQ12" s="35"/>
      <c r="AR12" s="35">
        <v>0</v>
      </c>
      <c r="AS12" s="35"/>
      <c r="AT12" s="35">
        <v>0</v>
      </c>
      <c r="AU12" s="35"/>
      <c r="AV12" s="74">
        <f>C12-I12</f>
        <v>0</v>
      </c>
      <c r="AW12" s="35"/>
      <c r="AX12" s="23" t="s">
        <v>13</v>
      </c>
      <c r="AY12" s="35"/>
      <c r="AZ12" s="74">
        <v>0</v>
      </c>
      <c r="BA12" s="35"/>
      <c r="BB12" s="74">
        <v>0</v>
      </c>
      <c r="BC12" s="35"/>
      <c r="BD12" s="74">
        <v>0</v>
      </c>
      <c r="BE12" s="35"/>
      <c r="BF12" s="74">
        <v>0</v>
      </c>
      <c r="BG12" s="35"/>
      <c r="BH12" s="35"/>
      <c r="BI12" s="35"/>
      <c r="BJ12" s="48">
        <f>SUM(AZ12:BF12)+BH12</f>
        <v>0</v>
      </c>
    </row>
    <row r="13" spans="1:62" s="36" customFormat="1" ht="12" hidden="1">
      <c r="A13" s="23" t="s">
        <v>14</v>
      </c>
      <c r="B13" s="23"/>
      <c r="C13" s="35">
        <f t="shared" si="0"/>
        <v>0</v>
      </c>
      <c r="D13" s="35"/>
      <c r="E13" s="35">
        <v>0</v>
      </c>
      <c r="F13" s="35"/>
      <c r="G13" s="35">
        <v>0</v>
      </c>
      <c r="H13" s="35"/>
      <c r="I13" s="35">
        <f>+M13-K13</f>
        <v>0</v>
      </c>
      <c r="J13" s="35"/>
      <c r="K13" s="35">
        <f>SUM(BJ13)</f>
        <v>0</v>
      </c>
      <c r="L13" s="35"/>
      <c r="M13" s="35">
        <v>0</v>
      </c>
      <c r="N13" s="35"/>
      <c r="O13" s="35">
        <v>0</v>
      </c>
      <c r="P13" s="35"/>
      <c r="Q13" s="35">
        <v>0</v>
      </c>
      <c r="R13" s="35"/>
      <c r="S13" s="35">
        <v>0</v>
      </c>
      <c r="T13" s="35"/>
      <c r="U13" s="35">
        <f aca="true" t="shared" si="2" ref="U13:U76">SUM(O13:S13)</f>
        <v>0</v>
      </c>
      <c r="V13" s="35"/>
      <c r="W13" s="35"/>
      <c r="X13" s="23" t="s">
        <v>14</v>
      </c>
      <c r="Y13" s="35"/>
      <c r="Z13" s="35">
        <v>0</v>
      </c>
      <c r="AA13" s="35"/>
      <c r="AB13" s="35">
        <v>0</v>
      </c>
      <c r="AC13" s="35"/>
      <c r="AD13" s="35">
        <v>0</v>
      </c>
      <c r="AE13" s="35"/>
      <c r="AF13" s="35">
        <f aca="true" t="shared" si="3" ref="AF13:AF76">+Z13-AB13-AD13</f>
        <v>0</v>
      </c>
      <c r="AG13" s="35"/>
      <c r="AH13" s="35">
        <v>0</v>
      </c>
      <c r="AI13" s="35"/>
      <c r="AJ13" s="35">
        <v>0</v>
      </c>
      <c r="AK13" s="35"/>
      <c r="AL13" s="35">
        <v>0</v>
      </c>
      <c r="AM13" s="35"/>
      <c r="AN13" s="35">
        <v>0</v>
      </c>
      <c r="AO13" s="35"/>
      <c r="AP13" s="35">
        <f t="shared" si="1"/>
        <v>0</v>
      </c>
      <c r="AQ13" s="35"/>
      <c r="AR13" s="35">
        <v>0</v>
      </c>
      <c r="AS13" s="35"/>
      <c r="AT13" s="35">
        <v>0</v>
      </c>
      <c r="AU13" s="35"/>
      <c r="AV13" s="35">
        <f aca="true" t="shared" si="4" ref="AV13:AV76">C13-I13</f>
        <v>0</v>
      </c>
      <c r="AW13" s="35"/>
      <c r="AX13" s="23" t="s">
        <v>14</v>
      </c>
      <c r="AY13" s="35"/>
      <c r="AZ13" s="35">
        <v>0</v>
      </c>
      <c r="BA13" s="35"/>
      <c r="BB13" s="35">
        <v>0</v>
      </c>
      <c r="BC13" s="35"/>
      <c r="BD13" s="35">
        <v>0</v>
      </c>
      <c r="BE13" s="35"/>
      <c r="BF13" s="35">
        <v>0</v>
      </c>
      <c r="BG13" s="35"/>
      <c r="BH13" s="35"/>
      <c r="BI13" s="35"/>
      <c r="BJ13" s="17">
        <f aca="true" t="shared" si="5" ref="BJ13:BJ76">SUM(AZ13:BF13)+BH13</f>
        <v>0</v>
      </c>
    </row>
    <row r="14" spans="1:62" s="36" customFormat="1" ht="12">
      <c r="A14" s="23" t="s">
        <v>15</v>
      </c>
      <c r="B14" s="23"/>
      <c r="C14" s="74">
        <f t="shared" si="0"/>
        <v>2669251</v>
      </c>
      <c r="D14" s="74"/>
      <c r="E14" s="74">
        <v>19697606</v>
      </c>
      <c r="F14" s="74"/>
      <c r="G14" s="74">
        <v>22366857</v>
      </c>
      <c r="H14" s="74"/>
      <c r="I14" s="74">
        <f>+M14-K14</f>
        <v>949543</v>
      </c>
      <c r="J14" s="74"/>
      <c r="K14" s="74">
        <v>17575983</v>
      </c>
      <c r="L14" s="74"/>
      <c r="M14" s="74">
        <v>18525526</v>
      </c>
      <c r="N14" s="74"/>
      <c r="O14" s="74">
        <v>1294992</v>
      </c>
      <c r="P14" s="74"/>
      <c r="Q14" s="74">
        <v>0</v>
      </c>
      <c r="R14" s="74"/>
      <c r="S14" s="74">
        <v>2546339</v>
      </c>
      <c r="T14" s="74"/>
      <c r="U14" s="74">
        <f t="shared" si="2"/>
        <v>3841331</v>
      </c>
      <c r="V14" s="35">
        <f>G14-M14-U14</f>
        <v>0</v>
      </c>
      <c r="W14" s="35"/>
      <c r="X14" s="23" t="s">
        <v>15</v>
      </c>
      <c r="Y14" s="35"/>
      <c r="Z14" s="74">
        <v>3976951</v>
      </c>
      <c r="AA14" s="35"/>
      <c r="AB14" s="74">
        <f>3089778-910929</f>
        <v>2178849</v>
      </c>
      <c r="AC14" s="35"/>
      <c r="AD14" s="74">
        <v>910929</v>
      </c>
      <c r="AE14" s="35"/>
      <c r="AF14" s="74">
        <f t="shared" si="3"/>
        <v>887173</v>
      </c>
      <c r="AG14" s="35"/>
      <c r="AH14" s="74">
        <v>-707860</v>
      </c>
      <c r="AI14" s="35"/>
      <c r="AJ14" s="74">
        <v>0</v>
      </c>
      <c r="AK14" s="35"/>
      <c r="AL14" s="74">
        <v>0</v>
      </c>
      <c r="AM14" s="35"/>
      <c r="AN14" s="74">
        <v>0</v>
      </c>
      <c r="AO14" s="35"/>
      <c r="AP14" s="74">
        <f t="shared" si="1"/>
        <v>179313</v>
      </c>
      <c r="AQ14" s="35"/>
      <c r="AR14" s="35">
        <v>0</v>
      </c>
      <c r="AS14" s="35"/>
      <c r="AT14" s="35">
        <v>0</v>
      </c>
      <c r="AU14" s="35"/>
      <c r="AV14" s="74">
        <f t="shared" si="4"/>
        <v>1719708</v>
      </c>
      <c r="AW14" s="35"/>
      <c r="AX14" s="23" t="s">
        <v>15</v>
      </c>
      <c r="AY14" s="35"/>
      <c r="AZ14" s="74">
        <v>0</v>
      </c>
      <c r="BA14" s="35"/>
      <c r="BB14" s="74">
        <v>4502000</v>
      </c>
      <c r="BC14" s="35"/>
      <c r="BD14" s="74">
        <f>12052490+1013005</f>
        <v>13065495</v>
      </c>
      <c r="BE14" s="35"/>
      <c r="BF14" s="74">
        <v>8488</v>
      </c>
      <c r="BG14" s="35"/>
      <c r="BH14" s="35"/>
      <c r="BI14" s="35"/>
      <c r="BJ14" s="48">
        <f t="shared" si="5"/>
        <v>17575983</v>
      </c>
    </row>
    <row r="15" spans="1:62" s="36" customFormat="1" ht="12" hidden="1">
      <c r="A15" s="23" t="s">
        <v>16</v>
      </c>
      <c r="B15" s="23"/>
      <c r="C15" s="74">
        <f t="shared" si="0"/>
        <v>0</v>
      </c>
      <c r="D15" s="35"/>
      <c r="E15" s="35"/>
      <c r="F15" s="35"/>
      <c r="G15" s="35"/>
      <c r="H15" s="35"/>
      <c r="I15" s="74">
        <f>+M15-K15</f>
        <v>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>
        <f t="shared" si="2"/>
        <v>0</v>
      </c>
      <c r="V15" s="35"/>
      <c r="W15" s="35"/>
      <c r="X15" s="23" t="s">
        <v>16</v>
      </c>
      <c r="Y15" s="35"/>
      <c r="Z15" s="35"/>
      <c r="AA15" s="35"/>
      <c r="AB15" s="35"/>
      <c r="AC15" s="35"/>
      <c r="AD15" s="35"/>
      <c r="AE15" s="35"/>
      <c r="AF15" s="35">
        <f t="shared" si="3"/>
        <v>0</v>
      </c>
      <c r="AG15" s="35"/>
      <c r="AH15" s="35"/>
      <c r="AI15" s="35"/>
      <c r="AJ15" s="35"/>
      <c r="AK15" s="35"/>
      <c r="AL15" s="35"/>
      <c r="AM15" s="35"/>
      <c r="AN15" s="35"/>
      <c r="AO15" s="35"/>
      <c r="AP15" s="35">
        <f t="shared" si="1"/>
        <v>0</v>
      </c>
      <c r="AQ15" s="35"/>
      <c r="AR15" s="35">
        <v>0</v>
      </c>
      <c r="AS15" s="35"/>
      <c r="AT15" s="35">
        <v>0</v>
      </c>
      <c r="AU15" s="35"/>
      <c r="AV15" s="35">
        <f>C15-I15</f>
        <v>0</v>
      </c>
      <c r="AW15" s="35"/>
      <c r="AX15" s="23" t="s">
        <v>16</v>
      </c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17">
        <f t="shared" si="5"/>
        <v>0</v>
      </c>
    </row>
    <row r="16" spans="1:62" s="36" customFormat="1" ht="12" hidden="1">
      <c r="A16" s="23" t="s">
        <v>17</v>
      </c>
      <c r="B16" s="23"/>
      <c r="C16" s="35">
        <f t="shared" si="0"/>
        <v>0</v>
      </c>
      <c r="D16" s="35"/>
      <c r="E16" s="35"/>
      <c r="F16" s="35"/>
      <c r="G16" s="35"/>
      <c r="H16" s="35"/>
      <c r="I16" s="35">
        <f aca="true" t="shared" si="6" ref="I16:I23">+M16-K16</f>
        <v>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>
        <f t="shared" si="2"/>
        <v>0</v>
      </c>
      <c r="V16" s="35"/>
      <c r="W16" s="35"/>
      <c r="X16" s="23" t="s">
        <v>17</v>
      </c>
      <c r="Y16" s="35"/>
      <c r="Z16" s="35"/>
      <c r="AA16" s="35"/>
      <c r="AB16" s="35"/>
      <c r="AC16" s="35"/>
      <c r="AD16" s="35"/>
      <c r="AE16" s="35"/>
      <c r="AF16" s="35">
        <f t="shared" si="3"/>
        <v>0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>
        <f t="shared" si="1"/>
        <v>0</v>
      </c>
      <c r="AQ16" s="35"/>
      <c r="AR16" s="35">
        <v>0</v>
      </c>
      <c r="AS16" s="35"/>
      <c r="AT16" s="35">
        <v>0</v>
      </c>
      <c r="AU16" s="35"/>
      <c r="AV16" s="35">
        <f t="shared" si="4"/>
        <v>0</v>
      </c>
      <c r="AW16" s="35"/>
      <c r="AX16" s="23" t="s">
        <v>17</v>
      </c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17">
        <f t="shared" si="5"/>
        <v>0</v>
      </c>
    </row>
    <row r="17" spans="1:62" s="36" customFormat="1" ht="12">
      <c r="A17" s="23" t="s">
        <v>18</v>
      </c>
      <c r="B17" s="23"/>
      <c r="C17" s="35">
        <f aca="true" t="shared" si="7" ref="C17:C80">+G17-E17</f>
        <v>2369995</v>
      </c>
      <c r="D17" s="35"/>
      <c r="E17" s="35">
        <v>20776296</v>
      </c>
      <c r="F17" s="35"/>
      <c r="G17" s="35">
        <v>23146291</v>
      </c>
      <c r="H17" s="35"/>
      <c r="I17" s="35">
        <f t="shared" si="6"/>
        <v>534465</v>
      </c>
      <c r="J17" s="35"/>
      <c r="K17" s="35">
        <v>10140492</v>
      </c>
      <c r="L17" s="35"/>
      <c r="M17" s="35">
        <v>10674957</v>
      </c>
      <c r="N17" s="35"/>
      <c r="O17" s="35">
        <v>10022249</v>
      </c>
      <c r="P17" s="35"/>
      <c r="Q17" s="35">
        <v>381805</v>
      </c>
      <c r="R17" s="35"/>
      <c r="S17" s="35">
        <v>2067280</v>
      </c>
      <c r="T17" s="35"/>
      <c r="U17" s="35">
        <f t="shared" si="2"/>
        <v>12471334</v>
      </c>
      <c r="V17" s="35">
        <f>G17-M17-U17</f>
        <v>0</v>
      </c>
      <c r="W17" s="35"/>
      <c r="X17" s="23" t="s">
        <v>18</v>
      </c>
      <c r="Y17" s="35"/>
      <c r="Z17" s="35">
        <v>3002896</v>
      </c>
      <c r="AA17" s="35"/>
      <c r="AB17" s="35">
        <f>2990457-673307</f>
        <v>2317150</v>
      </c>
      <c r="AC17" s="35"/>
      <c r="AD17" s="35">
        <v>673307</v>
      </c>
      <c r="AE17" s="35"/>
      <c r="AF17" s="35">
        <f t="shared" si="3"/>
        <v>12439</v>
      </c>
      <c r="AG17" s="35"/>
      <c r="AH17" s="35">
        <v>-490037</v>
      </c>
      <c r="AI17" s="35"/>
      <c r="AJ17" s="35">
        <v>0</v>
      </c>
      <c r="AK17" s="35"/>
      <c r="AL17" s="35">
        <v>0</v>
      </c>
      <c r="AM17" s="35"/>
      <c r="AN17" s="35">
        <v>24388</v>
      </c>
      <c r="AO17" s="35"/>
      <c r="AP17" s="35">
        <f aca="true" t="shared" si="8" ref="AP17:AP80">+AN17+AJ17+AH17+AF17-AL17</f>
        <v>-453210</v>
      </c>
      <c r="AQ17" s="35"/>
      <c r="AR17" s="35">
        <v>0</v>
      </c>
      <c r="AS17" s="35"/>
      <c r="AT17" s="35">
        <v>0</v>
      </c>
      <c r="AU17" s="35"/>
      <c r="AV17" s="35">
        <f t="shared" si="4"/>
        <v>1835530</v>
      </c>
      <c r="AW17" s="35"/>
      <c r="AX17" s="23" t="s">
        <v>18</v>
      </c>
      <c r="AY17" s="35"/>
      <c r="AZ17" s="35">
        <v>3705406</v>
      </c>
      <c r="BA17" s="35"/>
      <c r="BB17" s="35">
        <v>6040000</v>
      </c>
      <c r="BC17" s="35"/>
      <c r="BD17" s="35">
        <v>297225</v>
      </c>
      <c r="BE17" s="35"/>
      <c r="BF17" s="35">
        <f>35833+62028</f>
        <v>97861</v>
      </c>
      <c r="BG17" s="35"/>
      <c r="BH17" s="35"/>
      <c r="BI17" s="35"/>
      <c r="BJ17" s="17">
        <f t="shared" si="5"/>
        <v>10140492</v>
      </c>
    </row>
    <row r="18" spans="1:62" s="36" customFormat="1" ht="12" hidden="1">
      <c r="A18" s="23" t="s">
        <v>238</v>
      </c>
      <c r="B18" s="23"/>
      <c r="C18" s="35">
        <f t="shared" si="7"/>
        <v>0</v>
      </c>
      <c r="D18" s="35"/>
      <c r="E18" s="35"/>
      <c r="F18" s="35"/>
      <c r="G18" s="35"/>
      <c r="H18" s="35"/>
      <c r="I18" s="35">
        <f t="shared" si="6"/>
        <v>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f t="shared" si="2"/>
        <v>0</v>
      </c>
      <c r="V18" s="35">
        <f aca="true" t="shared" si="9" ref="V18:V23">G18-M18-U18</f>
        <v>0</v>
      </c>
      <c r="W18" s="35"/>
      <c r="X18" s="23" t="s">
        <v>96</v>
      </c>
      <c r="Y18" s="35"/>
      <c r="Z18" s="35"/>
      <c r="AA18" s="35"/>
      <c r="AB18" s="35"/>
      <c r="AC18" s="35"/>
      <c r="AD18" s="35"/>
      <c r="AE18" s="35"/>
      <c r="AF18" s="35">
        <f t="shared" si="3"/>
        <v>0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>
        <f t="shared" si="8"/>
        <v>0</v>
      </c>
      <c r="AQ18" s="35"/>
      <c r="AR18" s="35">
        <v>0</v>
      </c>
      <c r="AS18" s="35"/>
      <c r="AT18" s="35">
        <v>0</v>
      </c>
      <c r="AU18" s="35"/>
      <c r="AV18" s="35">
        <f t="shared" si="4"/>
        <v>0</v>
      </c>
      <c r="AW18" s="35"/>
      <c r="AX18" s="23" t="s">
        <v>96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17">
        <f t="shared" si="5"/>
        <v>0</v>
      </c>
    </row>
    <row r="19" spans="1:62" s="36" customFormat="1" ht="12">
      <c r="A19" s="23" t="s">
        <v>236</v>
      </c>
      <c r="B19" s="23"/>
      <c r="C19" s="35">
        <f t="shared" si="7"/>
        <v>14145964</v>
      </c>
      <c r="D19" s="35"/>
      <c r="E19" s="35">
        <v>140198930</v>
      </c>
      <c r="F19" s="35"/>
      <c r="G19" s="35">
        <v>154344894</v>
      </c>
      <c r="H19" s="35"/>
      <c r="I19" s="35">
        <f t="shared" si="6"/>
        <v>5663571</v>
      </c>
      <c r="J19" s="35"/>
      <c r="K19" s="35">
        <v>61136106</v>
      </c>
      <c r="L19" s="35"/>
      <c r="M19" s="35">
        <v>66799677</v>
      </c>
      <c r="N19" s="35"/>
      <c r="O19" s="35">
        <v>71128306</v>
      </c>
      <c r="P19" s="35"/>
      <c r="Q19" s="35">
        <v>2000000</v>
      </c>
      <c r="R19" s="35"/>
      <c r="S19" s="35">
        <v>14416911</v>
      </c>
      <c r="T19" s="35"/>
      <c r="U19" s="35">
        <f t="shared" si="2"/>
        <v>87545217</v>
      </c>
      <c r="V19" s="35">
        <f t="shared" si="9"/>
        <v>0</v>
      </c>
      <c r="W19" s="35"/>
      <c r="X19" s="23" t="s">
        <v>236</v>
      </c>
      <c r="Y19" s="35"/>
      <c r="Z19" s="35">
        <v>20567888</v>
      </c>
      <c r="AA19" s="35"/>
      <c r="AB19" s="35">
        <f>21327011-6519886</f>
        <v>14807125</v>
      </c>
      <c r="AC19" s="35"/>
      <c r="AD19" s="35">
        <v>6519886</v>
      </c>
      <c r="AE19" s="35"/>
      <c r="AF19" s="35">
        <f t="shared" si="3"/>
        <v>-759123</v>
      </c>
      <c r="AG19" s="35"/>
      <c r="AH19" s="35">
        <v>-2455597</v>
      </c>
      <c r="AI19" s="35"/>
      <c r="AJ19" s="35">
        <v>861452</v>
      </c>
      <c r="AK19" s="35"/>
      <c r="AL19" s="35">
        <v>0</v>
      </c>
      <c r="AM19" s="35"/>
      <c r="AN19" s="35">
        <v>1441752</v>
      </c>
      <c r="AO19" s="35"/>
      <c r="AP19" s="35">
        <f t="shared" si="8"/>
        <v>-911516</v>
      </c>
      <c r="AQ19" s="35"/>
      <c r="AR19" s="35">
        <v>0</v>
      </c>
      <c r="AS19" s="35"/>
      <c r="AT19" s="35">
        <v>0</v>
      </c>
      <c r="AU19" s="35"/>
      <c r="AV19" s="35">
        <f t="shared" si="4"/>
        <v>8482393</v>
      </c>
      <c r="AW19" s="35"/>
      <c r="AX19" s="23" t="s">
        <v>236</v>
      </c>
      <c r="AY19" s="35"/>
      <c r="AZ19" s="35">
        <v>5048438</v>
      </c>
      <c r="BA19" s="35"/>
      <c r="BB19" s="35">
        <v>19002681</v>
      </c>
      <c r="BC19" s="35"/>
      <c r="BD19" s="35">
        <v>9947672</v>
      </c>
      <c r="BE19" s="35"/>
      <c r="BF19" s="35">
        <f>135485+263451+26738379</f>
        <v>27137315</v>
      </c>
      <c r="BG19" s="35"/>
      <c r="BH19" s="35"/>
      <c r="BI19" s="35"/>
      <c r="BJ19" s="17">
        <f t="shared" si="5"/>
        <v>61136106</v>
      </c>
    </row>
    <row r="20" spans="1:62" s="36" customFormat="1" ht="12" hidden="1">
      <c r="A20" s="23" t="s">
        <v>20</v>
      </c>
      <c r="B20" s="23"/>
      <c r="C20" s="35">
        <f t="shared" si="7"/>
        <v>0</v>
      </c>
      <c r="D20" s="35"/>
      <c r="E20" s="35"/>
      <c r="F20" s="35"/>
      <c r="G20" s="35"/>
      <c r="H20" s="35"/>
      <c r="I20" s="35">
        <f t="shared" si="6"/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>
        <f t="shared" si="2"/>
        <v>0</v>
      </c>
      <c r="V20" s="35"/>
      <c r="W20" s="35"/>
      <c r="X20" s="23" t="s">
        <v>20</v>
      </c>
      <c r="Y20" s="35"/>
      <c r="Z20" s="35"/>
      <c r="AA20" s="35"/>
      <c r="AB20" s="35"/>
      <c r="AC20" s="35"/>
      <c r="AD20" s="35"/>
      <c r="AE20" s="35"/>
      <c r="AF20" s="35">
        <f t="shared" si="3"/>
        <v>0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>
        <f t="shared" si="8"/>
        <v>0</v>
      </c>
      <c r="AQ20" s="35"/>
      <c r="AR20" s="35"/>
      <c r="AS20" s="35"/>
      <c r="AT20" s="35"/>
      <c r="AU20" s="35"/>
      <c r="AV20" s="35">
        <f t="shared" si="4"/>
        <v>0</v>
      </c>
      <c r="AW20" s="35"/>
      <c r="AX20" s="23" t="s">
        <v>20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17">
        <f t="shared" si="5"/>
        <v>0</v>
      </c>
    </row>
    <row r="21" spans="1:62" s="36" customFormat="1" ht="12" hidden="1">
      <c r="A21" s="23" t="s">
        <v>172</v>
      </c>
      <c r="B21" s="23"/>
      <c r="C21" s="35">
        <f t="shared" si="7"/>
        <v>0</v>
      </c>
      <c r="D21" s="35"/>
      <c r="E21" s="35"/>
      <c r="F21" s="35"/>
      <c r="G21" s="35"/>
      <c r="H21" s="35"/>
      <c r="I21" s="35">
        <f t="shared" si="6"/>
        <v>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>
        <f t="shared" si="2"/>
        <v>0</v>
      </c>
      <c r="V21" s="35">
        <f t="shared" si="9"/>
        <v>0</v>
      </c>
      <c r="W21" s="35"/>
      <c r="X21" s="23" t="s">
        <v>172</v>
      </c>
      <c r="Y21" s="35"/>
      <c r="Z21" s="35"/>
      <c r="AA21" s="35"/>
      <c r="AB21" s="35"/>
      <c r="AC21" s="35"/>
      <c r="AD21" s="35"/>
      <c r="AE21" s="35"/>
      <c r="AF21" s="35">
        <f t="shared" si="3"/>
        <v>0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35">
        <f t="shared" si="8"/>
        <v>0</v>
      </c>
      <c r="AQ21" s="35"/>
      <c r="AR21" s="35">
        <v>0</v>
      </c>
      <c r="AS21" s="35"/>
      <c r="AT21" s="35">
        <v>0</v>
      </c>
      <c r="AU21" s="35"/>
      <c r="AV21" s="35">
        <f t="shared" si="4"/>
        <v>0</v>
      </c>
      <c r="AW21" s="35"/>
      <c r="AX21" s="23" t="s">
        <v>172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17">
        <f t="shared" si="5"/>
        <v>0</v>
      </c>
    </row>
    <row r="22" spans="1:62" s="36" customFormat="1" ht="12">
      <c r="A22" s="23" t="s">
        <v>21</v>
      </c>
      <c r="B22" s="23"/>
      <c r="C22" s="35">
        <f t="shared" si="7"/>
        <v>2083410</v>
      </c>
      <c r="D22" s="35"/>
      <c r="E22" s="35">
        <v>6298748</v>
      </c>
      <c r="F22" s="35"/>
      <c r="G22" s="35">
        <v>8382158</v>
      </c>
      <c r="H22" s="35"/>
      <c r="I22" s="35">
        <f t="shared" si="6"/>
        <v>419380</v>
      </c>
      <c r="J22" s="35"/>
      <c r="K22" s="35">
        <v>1856551</v>
      </c>
      <c r="L22" s="35"/>
      <c r="M22" s="35">
        <v>2275931</v>
      </c>
      <c r="N22" s="35"/>
      <c r="O22" s="35">
        <v>4247989</v>
      </c>
      <c r="P22" s="35"/>
      <c r="Q22" s="35">
        <v>0</v>
      </c>
      <c r="R22" s="35"/>
      <c r="S22" s="35">
        <v>1858238</v>
      </c>
      <c r="T22" s="35"/>
      <c r="U22" s="35">
        <f t="shared" si="2"/>
        <v>6106227</v>
      </c>
      <c r="V22" s="35">
        <f t="shared" si="9"/>
        <v>0</v>
      </c>
      <c r="W22" s="35"/>
      <c r="X22" s="23" t="s">
        <v>21</v>
      </c>
      <c r="Y22" s="35"/>
      <c r="Z22" s="35">
        <v>2306812</v>
      </c>
      <c r="AA22" s="35"/>
      <c r="AB22" s="35">
        <f>1970500-179959</f>
        <v>1790541</v>
      </c>
      <c r="AC22" s="35"/>
      <c r="AD22" s="35">
        <v>179959</v>
      </c>
      <c r="AE22" s="35"/>
      <c r="AF22" s="35">
        <f t="shared" si="3"/>
        <v>336312</v>
      </c>
      <c r="AG22" s="35"/>
      <c r="AH22" s="35">
        <v>-57102</v>
      </c>
      <c r="AI22" s="35"/>
      <c r="AJ22" s="35">
        <v>36450</v>
      </c>
      <c r="AK22" s="35"/>
      <c r="AL22" s="35">
        <v>0</v>
      </c>
      <c r="AM22" s="35"/>
      <c r="AN22" s="35">
        <v>214169</v>
      </c>
      <c r="AO22" s="35"/>
      <c r="AP22" s="35">
        <f t="shared" si="8"/>
        <v>529829</v>
      </c>
      <c r="AQ22" s="35"/>
      <c r="AR22" s="35">
        <v>0</v>
      </c>
      <c r="AS22" s="35"/>
      <c r="AT22" s="35">
        <v>0</v>
      </c>
      <c r="AU22" s="35"/>
      <c r="AV22" s="35">
        <f t="shared" si="4"/>
        <v>1664030</v>
      </c>
      <c r="AW22" s="35"/>
      <c r="AX22" s="23" t="s">
        <v>21</v>
      </c>
      <c r="AY22" s="35"/>
      <c r="AZ22" s="35">
        <v>1445000</v>
      </c>
      <c r="BA22" s="35"/>
      <c r="BB22" s="35">
        <v>0</v>
      </c>
      <c r="BC22" s="35"/>
      <c r="BD22" s="35">
        <v>319898</v>
      </c>
      <c r="BE22" s="35"/>
      <c r="BF22" s="35">
        <f>63548+28105</f>
        <v>91653</v>
      </c>
      <c r="BG22" s="35"/>
      <c r="BH22" s="35"/>
      <c r="BI22" s="35"/>
      <c r="BJ22" s="17">
        <f t="shared" si="5"/>
        <v>1856551</v>
      </c>
    </row>
    <row r="23" spans="1:62" s="36" customFormat="1" ht="12">
      <c r="A23" s="23" t="s">
        <v>180</v>
      </c>
      <c r="B23" s="23"/>
      <c r="C23" s="35">
        <f t="shared" si="7"/>
        <v>13797158</v>
      </c>
      <c r="D23" s="35"/>
      <c r="E23" s="35">
        <v>126454308</v>
      </c>
      <c r="F23" s="35"/>
      <c r="G23" s="35">
        <v>140251466</v>
      </c>
      <c r="H23" s="35"/>
      <c r="I23" s="35">
        <f t="shared" si="6"/>
        <v>4603007</v>
      </c>
      <c r="J23" s="35"/>
      <c r="K23" s="35">
        <v>23107013</v>
      </c>
      <c r="L23" s="35"/>
      <c r="M23" s="35">
        <v>27710020</v>
      </c>
      <c r="N23" s="35"/>
      <c r="O23" s="35">
        <v>91816122</v>
      </c>
      <c r="P23" s="35"/>
      <c r="Q23" s="35">
        <v>3158691</v>
      </c>
      <c r="R23" s="35"/>
      <c r="S23" s="35">
        <v>17566633</v>
      </c>
      <c r="T23" s="35"/>
      <c r="U23" s="35">
        <f t="shared" si="2"/>
        <v>112541446</v>
      </c>
      <c r="V23" s="35">
        <f t="shared" si="9"/>
        <v>0</v>
      </c>
      <c r="W23" s="35"/>
      <c r="X23" s="23" t="s">
        <v>180</v>
      </c>
      <c r="Y23" s="35"/>
      <c r="Z23" s="35">
        <v>12583395</v>
      </c>
      <c r="AA23" s="35"/>
      <c r="AB23" s="35">
        <f>11135645-4047470</f>
        <v>7088175</v>
      </c>
      <c r="AC23" s="35"/>
      <c r="AD23" s="35">
        <v>4047470</v>
      </c>
      <c r="AE23" s="35"/>
      <c r="AF23" s="35">
        <f t="shared" si="3"/>
        <v>1447750</v>
      </c>
      <c r="AG23" s="35"/>
      <c r="AH23" s="35">
        <v>-1080506</v>
      </c>
      <c r="AI23" s="35"/>
      <c r="AJ23" s="35">
        <v>338955</v>
      </c>
      <c r="AK23" s="35"/>
      <c r="AL23" s="35">
        <v>0</v>
      </c>
      <c r="AM23" s="35"/>
      <c r="AN23" s="35">
        <v>734869</v>
      </c>
      <c r="AO23" s="35"/>
      <c r="AP23" s="35">
        <f t="shared" si="8"/>
        <v>1441068</v>
      </c>
      <c r="AQ23" s="35"/>
      <c r="AR23" s="35">
        <v>0</v>
      </c>
      <c r="AS23" s="35"/>
      <c r="AT23" s="35">
        <v>0</v>
      </c>
      <c r="AU23" s="35"/>
      <c r="AV23" s="35">
        <f t="shared" si="4"/>
        <v>9194151</v>
      </c>
      <c r="AW23" s="35"/>
      <c r="AX23" s="23" t="s">
        <v>180</v>
      </c>
      <c r="AY23" s="35"/>
      <c r="AZ23" s="35">
        <v>0</v>
      </c>
      <c r="BA23" s="35"/>
      <c r="BB23" s="35">
        <v>17490000</v>
      </c>
      <c r="BC23" s="35"/>
      <c r="BD23" s="35">
        <v>664618</v>
      </c>
      <c r="BE23" s="35"/>
      <c r="BF23" s="35">
        <v>4952395</v>
      </c>
      <c r="BG23" s="35"/>
      <c r="BH23" s="35"/>
      <c r="BI23" s="35"/>
      <c r="BJ23" s="17">
        <f t="shared" si="5"/>
        <v>23107013</v>
      </c>
    </row>
    <row r="24" spans="1:62" s="36" customFormat="1" ht="12" hidden="1">
      <c r="A24" s="23" t="s">
        <v>22</v>
      </c>
      <c r="B24" s="23"/>
      <c r="C24" s="35">
        <f t="shared" si="7"/>
        <v>0</v>
      </c>
      <c r="D24" s="35"/>
      <c r="E24" s="35"/>
      <c r="F24" s="35"/>
      <c r="G24" s="35"/>
      <c r="H24" s="35"/>
      <c r="I24" s="35">
        <f aca="true" t="shared" si="10" ref="I24:I87">+M24-K24</f>
        <v>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>
        <f t="shared" si="2"/>
        <v>0</v>
      </c>
      <c r="V24" s="35">
        <f aca="true" t="shared" si="11" ref="V24:V87">G24-M24-U24</f>
        <v>0</v>
      </c>
      <c r="W24" s="35"/>
      <c r="X24" s="23" t="s">
        <v>22</v>
      </c>
      <c r="Y24" s="35"/>
      <c r="Z24" s="35"/>
      <c r="AA24" s="35"/>
      <c r="AB24" s="35"/>
      <c r="AC24" s="35"/>
      <c r="AD24" s="35"/>
      <c r="AE24" s="35"/>
      <c r="AF24" s="35">
        <f t="shared" si="3"/>
        <v>0</v>
      </c>
      <c r="AG24" s="35"/>
      <c r="AH24" s="35"/>
      <c r="AI24" s="35"/>
      <c r="AJ24" s="35"/>
      <c r="AK24" s="35"/>
      <c r="AL24" s="35"/>
      <c r="AM24" s="35"/>
      <c r="AN24" s="35"/>
      <c r="AO24" s="35"/>
      <c r="AP24" s="35">
        <f t="shared" si="8"/>
        <v>0</v>
      </c>
      <c r="AQ24" s="35"/>
      <c r="AR24" s="35">
        <v>0</v>
      </c>
      <c r="AS24" s="35"/>
      <c r="AT24" s="35">
        <v>0</v>
      </c>
      <c r="AU24" s="35"/>
      <c r="AV24" s="35">
        <f t="shared" si="4"/>
        <v>0</v>
      </c>
      <c r="AW24" s="35"/>
      <c r="AX24" s="23" t="s">
        <v>22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17">
        <f t="shared" si="5"/>
        <v>0</v>
      </c>
    </row>
    <row r="25" spans="1:62" s="36" customFormat="1" ht="12" hidden="1">
      <c r="A25" s="23" t="s">
        <v>23</v>
      </c>
      <c r="B25" s="23"/>
      <c r="C25" s="35">
        <f t="shared" si="7"/>
        <v>0</v>
      </c>
      <c r="D25" s="35"/>
      <c r="E25" s="35"/>
      <c r="F25" s="35"/>
      <c r="G25" s="35"/>
      <c r="H25" s="35"/>
      <c r="I25" s="35">
        <f t="shared" si="10"/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f t="shared" si="2"/>
        <v>0</v>
      </c>
      <c r="V25" s="35">
        <f t="shared" si="11"/>
        <v>0</v>
      </c>
      <c r="W25" s="35"/>
      <c r="X25" s="23" t="s">
        <v>23</v>
      </c>
      <c r="Y25" s="35"/>
      <c r="Z25" s="35"/>
      <c r="AA25" s="35"/>
      <c r="AB25" s="35"/>
      <c r="AC25" s="35"/>
      <c r="AD25" s="35"/>
      <c r="AE25" s="35"/>
      <c r="AF25" s="35">
        <f t="shared" si="3"/>
        <v>0</v>
      </c>
      <c r="AG25" s="35"/>
      <c r="AH25" s="35"/>
      <c r="AI25" s="35"/>
      <c r="AJ25" s="35"/>
      <c r="AK25" s="35"/>
      <c r="AL25" s="35"/>
      <c r="AM25" s="35"/>
      <c r="AN25" s="35"/>
      <c r="AO25" s="35"/>
      <c r="AP25" s="35">
        <f t="shared" si="8"/>
        <v>0</v>
      </c>
      <c r="AQ25" s="35"/>
      <c r="AR25" s="35">
        <v>0</v>
      </c>
      <c r="AS25" s="35"/>
      <c r="AT25" s="35">
        <v>0</v>
      </c>
      <c r="AU25" s="35"/>
      <c r="AV25" s="35">
        <f t="shared" si="4"/>
        <v>0</v>
      </c>
      <c r="AW25" s="35"/>
      <c r="AX25" s="23" t="s">
        <v>23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17">
        <f t="shared" si="5"/>
        <v>0</v>
      </c>
    </row>
    <row r="26" spans="1:62" s="36" customFormat="1" ht="12" hidden="1">
      <c r="A26" s="23" t="s">
        <v>24</v>
      </c>
      <c r="B26" s="23"/>
      <c r="C26" s="35">
        <f t="shared" si="7"/>
        <v>0</v>
      </c>
      <c r="D26" s="35"/>
      <c r="E26" s="35"/>
      <c r="F26" s="35"/>
      <c r="G26" s="35"/>
      <c r="H26" s="35"/>
      <c r="I26" s="35">
        <f t="shared" si="10"/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>
        <f t="shared" si="2"/>
        <v>0</v>
      </c>
      <c r="V26" s="35">
        <f t="shared" si="11"/>
        <v>0</v>
      </c>
      <c r="W26" s="35"/>
      <c r="X26" s="23" t="s">
        <v>24</v>
      </c>
      <c r="Y26" s="35"/>
      <c r="Z26" s="35"/>
      <c r="AA26" s="35"/>
      <c r="AB26" s="35"/>
      <c r="AC26" s="35"/>
      <c r="AD26" s="35"/>
      <c r="AE26" s="35"/>
      <c r="AF26" s="35">
        <f t="shared" si="3"/>
        <v>0</v>
      </c>
      <c r="AG26" s="35"/>
      <c r="AH26" s="35"/>
      <c r="AI26" s="35"/>
      <c r="AJ26" s="35"/>
      <c r="AK26" s="35"/>
      <c r="AL26" s="35"/>
      <c r="AM26" s="35"/>
      <c r="AN26" s="35"/>
      <c r="AO26" s="35"/>
      <c r="AP26" s="35">
        <f t="shared" si="8"/>
        <v>0</v>
      </c>
      <c r="AQ26" s="35"/>
      <c r="AR26" s="35">
        <v>0</v>
      </c>
      <c r="AS26" s="35"/>
      <c r="AT26" s="35">
        <v>0</v>
      </c>
      <c r="AU26" s="35"/>
      <c r="AV26" s="35">
        <f t="shared" si="4"/>
        <v>0</v>
      </c>
      <c r="AW26" s="35"/>
      <c r="AX26" s="23" t="s">
        <v>24</v>
      </c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17">
        <f t="shared" si="5"/>
        <v>0</v>
      </c>
    </row>
    <row r="27" spans="1:62" s="36" customFormat="1" ht="12" hidden="1">
      <c r="A27" s="23" t="s">
        <v>241</v>
      </c>
      <c r="B27" s="23"/>
      <c r="C27" s="35">
        <f t="shared" si="7"/>
        <v>0</v>
      </c>
      <c r="D27" s="35"/>
      <c r="E27" s="35"/>
      <c r="F27" s="35"/>
      <c r="G27" s="35"/>
      <c r="H27" s="35"/>
      <c r="I27" s="35">
        <f t="shared" si="10"/>
        <v>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>
        <f t="shared" si="2"/>
        <v>0</v>
      </c>
      <c r="V27" s="35">
        <f t="shared" si="11"/>
        <v>0</v>
      </c>
      <c r="W27" s="35"/>
      <c r="X27" s="23" t="s">
        <v>178</v>
      </c>
      <c r="Y27" s="35"/>
      <c r="Z27" s="35"/>
      <c r="AA27" s="35"/>
      <c r="AB27" s="35"/>
      <c r="AC27" s="35"/>
      <c r="AD27" s="35"/>
      <c r="AE27" s="35"/>
      <c r="AF27" s="35">
        <f t="shared" si="3"/>
        <v>0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>
        <f t="shared" si="8"/>
        <v>0</v>
      </c>
      <c r="AQ27" s="35"/>
      <c r="AR27" s="35">
        <v>0</v>
      </c>
      <c r="AS27" s="35"/>
      <c r="AT27" s="35">
        <v>0</v>
      </c>
      <c r="AU27" s="35"/>
      <c r="AV27" s="35">
        <f t="shared" si="4"/>
        <v>0</v>
      </c>
      <c r="AW27" s="35"/>
      <c r="AX27" s="23" t="s">
        <v>178</v>
      </c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17">
        <f t="shared" si="5"/>
        <v>0</v>
      </c>
    </row>
    <row r="28" spans="1:62" s="36" customFormat="1" ht="12" hidden="1">
      <c r="A28" s="23" t="s">
        <v>25</v>
      </c>
      <c r="B28" s="23"/>
      <c r="C28" s="35">
        <f t="shared" si="7"/>
        <v>0</v>
      </c>
      <c r="D28" s="35"/>
      <c r="E28" s="35"/>
      <c r="F28" s="35"/>
      <c r="G28" s="35"/>
      <c r="H28" s="35"/>
      <c r="I28" s="35">
        <f t="shared" si="10"/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>
        <f t="shared" si="2"/>
        <v>0</v>
      </c>
      <c r="V28" s="35">
        <f t="shared" si="11"/>
        <v>0</v>
      </c>
      <c r="W28" s="35"/>
      <c r="X28" s="23" t="s">
        <v>25</v>
      </c>
      <c r="Y28" s="35"/>
      <c r="Z28" s="35"/>
      <c r="AA28" s="35"/>
      <c r="AB28" s="35"/>
      <c r="AC28" s="35"/>
      <c r="AD28" s="35"/>
      <c r="AE28" s="35"/>
      <c r="AF28" s="35">
        <f t="shared" si="3"/>
        <v>0</v>
      </c>
      <c r="AG28" s="35"/>
      <c r="AH28" s="35"/>
      <c r="AI28" s="35"/>
      <c r="AJ28" s="35"/>
      <c r="AK28" s="35"/>
      <c r="AL28" s="35"/>
      <c r="AM28" s="35"/>
      <c r="AN28" s="35"/>
      <c r="AO28" s="35"/>
      <c r="AP28" s="35">
        <f t="shared" si="8"/>
        <v>0</v>
      </c>
      <c r="AQ28" s="35"/>
      <c r="AR28" s="35">
        <v>0</v>
      </c>
      <c r="AS28" s="35"/>
      <c r="AT28" s="35">
        <v>0</v>
      </c>
      <c r="AU28" s="35"/>
      <c r="AV28" s="35">
        <f t="shared" si="4"/>
        <v>0</v>
      </c>
      <c r="AW28" s="35"/>
      <c r="AX28" s="23" t="s">
        <v>25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17">
        <f t="shared" si="5"/>
        <v>0</v>
      </c>
    </row>
    <row r="29" spans="1:62" s="36" customFormat="1" ht="12" hidden="1">
      <c r="A29" s="23" t="s">
        <v>26</v>
      </c>
      <c r="B29" s="23"/>
      <c r="C29" s="35">
        <f t="shared" si="7"/>
        <v>0</v>
      </c>
      <c r="D29" s="35"/>
      <c r="E29" s="35"/>
      <c r="F29" s="35"/>
      <c r="G29" s="35"/>
      <c r="H29" s="35"/>
      <c r="I29" s="35">
        <f t="shared" si="10"/>
        <v>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>
        <f t="shared" si="2"/>
        <v>0</v>
      </c>
      <c r="V29" s="35">
        <f t="shared" si="11"/>
        <v>0</v>
      </c>
      <c r="W29" s="35"/>
      <c r="X29" s="23" t="s">
        <v>26</v>
      </c>
      <c r="Y29" s="35"/>
      <c r="Z29" s="35"/>
      <c r="AA29" s="35"/>
      <c r="AB29" s="35"/>
      <c r="AC29" s="35"/>
      <c r="AD29" s="35"/>
      <c r="AE29" s="35"/>
      <c r="AF29" s="35">
        <f t="shared" si="3"/>
        <v>0</v>
      </c>
      <c r="AG29" s="35"/>
      <c r="AH29" s="35"/>
      <c r="AI29" s="35"/>
      <c r="AJ29" s="35"/>
      <c r="AK29" s="35"/>
      <c r="AL29" s="35"/>
      <c r="AM29" s="35"/>
      <c r="AN29" s="35"/>
      <c r="AO29" s="35"/>
      <c r="AP29" s="35">
        <f t="shared" si="8"/>
        <v>0</v>
      </c>
      <c r="AQ29" s="35"/>
      <c r="AR29" s="35">
        <v>0</v>
      </c>
      <c r="AS29" s="35"/>
      <c r="AT29" s="35">
        <v>0</v>
      </c>
      <c r="AU29" s="35"/>
      <c r="AV29" s="35">
        <f t="shared" si="4"/>
        <v>0</v>
      </c>
      <c r="AW29" s="35"/>
      <c r="AX29" s="23" t="s">
        <v>26</v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17">
        <f t="shared" si="5"/>
        <v>0</v>
      </c>
    </row>
    <row r="30" spans="1:62" s="36" customFormat="1" ht="12" hidden="1">
      <c r="A30" s="23" t="s">
        <v>27</v>
      </c>
      <c r="B30" s="23"/>
      <c r="C30" s="35">
        <f t="shared" si="7"/>
        <v>0</v>
      </c>
      <c r="D30" s="35"/>
      <c r="E30" s="35"/>
      <c r="F30" s="35"/>
      <c r="G30" s="35"/>
      <c r="H30" s="35"/>
      <c r="I30" s="35">
        <f t="shared" si="10"/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>
        <f t="shared" si="2"/>
        <v>0</v>
      </c>
      <c r="V30" s="35">
        <f t="shared" si="11"/>
        <v>0</v>
      </c>
      <c r="W30" s="35"/>
      <c r="X30" s="23" t="s">
        <v>27</v>
      </c>
      <c r="Y30" s="35"/>
      <c r="Z30" s="35"/>
      <c r="AA30" s="35"/>
      <c r="AB30" s="35"/>
      <c r="AC30" s="35"/>
      <c r="AD30" s="35"/>
      <c r="AE30" s="35"/>
      <c r="AF30" s="35">
        <f t="shared" si="3"/>
        <v>0</v>
      </c>
      <c r="AG30" s="35"/>
      <c r="AH30" s="35"/>
      <c r="AI30" s="35"/>
      <c r="AJ30" s="35"/>
      <c r="AK30" s="35"/>
      <c r="AL30" s="35"/>
      <c r="AM30" s="35"/>
      <c r="AN30" s="35"/>
      <c r="AO30" s="35"/>
      <c r="AP30" s="35">
        <f t="shared" si="8"/>
        <v>0</v>
      </c>
      <c r="AQ30" s="35"/>
      <c r="AR30" s="35">
        <v>0</v>
      </c>
      <c r="AS30" s="35"/>
      <c r="AT30" s="35">
        <v>0</v>
      </c>
      <c r="AU30" s="35"/>
      <c r="AV30" s="35">
        <f t="shared" si="4"/>
        <v>0</v>
      </c>
      <c r="AW30" s="35"/>
      <c r="AX30" s="23" t="s">
        <v>27</v>
      </c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17">
        <f t="shared" si="5"/>
        <v>0</v>
      </c>
    </row>
    <row r="31" spans="1:62" s="36" customFormat="1" ht="12" hidden="1">
      <c r="A31" s="23" t="s">
        <v>28</v>
      </c>
      <c r="B31" s="23"/>
      <c r="C31" s="35">
        <f t="shared" si="7"/>
        <v>0</v>
      </c>
      <c r="D31" s="35"/>
      <c r="E31" s="35"/>
      <c r="F31" s="35"/>
      <c r="G31" s="35"/>
      <c r="H31" s="35"/>
      <c r="I31" s="35">
        <f t="shared" si="10"/>
        <v>0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>
        <f t="shared" si="2"/>
        <v>0</v>
      </c>
      <c r="V31" s="35">
        <f t="shared" si="11"/>
        <v>0</v>
      </c>
      <c r="W31" s="35"/>
      <c r="X31" s="23" t="s">
        <v>28</v>
      </c>
      <c r="Y31" s="35"/>
      <c r="Z31" s="35"/>
      <c r="AA31" s="35"/>
      <c r="AB31" s="35"/>
      <c r="AC31" s="35"/>
      <c r="AD31" s="35"/>
      <c r="AE31" s="35"/>
      <c r="AF31" s="35">
        <f t="shared" si="3"/>
        <v>0</v>
      </c>
      <c r="AG31" s="35"/>
      <c r="AH31" s="35"/>
      <c r="AI31" s="35"/>
      <c r="AJ31" s="35"/>
      <c r="AK31" s="35"/>
      <c r="AL31" s="35"/>
      <c r="AM31" s="35"/>
      <c r="AN31" s="35"/>
      <c r="AO31" s="35"/>
      <c r="AP31" s="35">
        <f t="shared" si="8"/>
        <v>0</v>
      </c>
      <c r="AQ31" s="35"/>
      <c r="AR31" s="35">
        <v>0</v>
      </c>
      <c r="AS31" s="35"/>
      <c r="AT31" s="35">
        <v>0</v>
      </c>
      <c r="AU31" s="35"/>
      <c r="AV31" s="35">
        <f t="shared" si="4"/>
        <v>0</v>
      </c>
      <c r="AW31" s="35"/>
      <c r="AX31" s="23" t="s">
        <v>28</v>
      </c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17">
        <f t="shared" si="5"/>
        <v>0</v>
      </c>
    </row>
    <row r="32" spans="1:62" s="36" customFormat="1" ht="12">
      <c r="A32" s="23" t="s">
        <v>29</v>
      </c>
      <c r="B32" s="23"/>
      <c r="C32" s="35">
        <f t="shared" si="7"/>
        <v>3221611</v>
      </c>
      <c r="D32" s="35"/>
      <c r="E32" s="35">
        <v>43182087</v>
      </c>
      <c r="F32" s="35"/>
      <c r="G32" s="35">
        <v>46403698</v>
      </c>
      <c r="H32" s="35"/>
      <c r="I32" s="35">
        <f t="shared" si="10"/>
        <v>1745938</v>
      </c>
      <c r="J32" s="35"/>
      <c r="K32" s="35">
        <v>26558258</v>
      </c>
      <c r="L32" s="35"/>
      <c r="M32" s="35">
        <v>28304196</v>
      </c>
      <c r="N32" s="35"/>
      <c r="O32" s="35">
        <v>15327424</v>
      </c>
      <c r="P32" s="35"/>
      <c r="Q32" s="35">
        <v>0</v>
      </c>
      <c r="R32" s="35"/>
      <c r="S32" s="35">
        <v>2772078</v>
      </c>
      <c r="T32" s="35"/>
      <c r="U32" s="35">
        <f t="shared" si="2"/>
        <v>18099502</v>
      </c>
      <c r="V32" s="35">
        <f t="shared" si="11"/>
        <v>0</v>
      </c>
      <c r="W32" s="35"/>
      <c r="X32" s="23" t="s">
        <v>29</v>
      </c>
      <c r="Y32" s="35"/>
      <c r="Z32" s="35">
        <v>7928303</v>
      </c>
      <c r="AA32" s="35"/>
      <c r="AB32" s="35">
        <f>6362005-1561943</f>
        <v>4800062</v>
      </c>
      <c r="AC32" s="35"/>
      <c r="AD32" s="35">
        <v>1561943</v>
      </c>
      <c r="AE32" s="35"/>
      <c r="AF32" s="35">
        <f t="shared" si="3"/>
        <v>1566298</v>
      </c>
      <c r="AG32" s="35"/>
      <c r="AH32" s="35">
        <v>-1112468</v>
      </c>
      <c r="AI32" s="35"/>
      <c r="AJ32" s="35">
        <v>0</v>
      </c>
      <c r="AK32" s="35"/>
      <c r="AL32" s="35">
        <v>10351</v>
      </c>
      <c r="AM32" s="35"/>
      <c r="AN32" s="35">
        <v>0</v>
      </c>
      <c r="AO32" s="35"/>
      <c r="AP32" s="35">
        <f t="shared" si="8"/>
        <v>443479</v>
      </c>
      <c r="AQ32" s="35"/>
      <c r="AR32" s="35">
        <v>0</v>
      </c>
      <c r="AS32" s="35"/>
      <c r="AT32" s="35">
        <v>0</v>
      </c>
      <c r="AU32" s="35"/>
      <c r="AV32" s="35">
        <f t="shared" si="4"/>
        <v>1475673</v>
      </c>
      <c r="AW32" s="35"/>
      <c r="AX32" s="23" t="s">
        <v>29</v>
      </c>
      <c r="AY32" s="35"/>
      <c r="AZ32" s="35">
        <v>4248380</v>
      </c>
      <c r="BA32" s="35"/>
      <c r="BB32" s="35">
        <v>0</v>
      </c>
      <c r="BC32" s="35"/>
      <c r="BD32" s="35">
        <v>22285816</v>
      </c>
      <c r="BE32" s="35"/>
      <c r="BF32" s="35">
        <v>24062</v>
      </c>
      <c r="BG32" s="35"/>
      <c r="BH32" s="35"/>
      <c r="BI32" s="35"/>
      <c r="BJ32" s="17">
        <f t="shared" si="5"/>
        <v>26558258</v>
      </c>
    </row>
    <row r="33" spans="1:62" s="36" customFormat="1" ht="12">
      <c r="A33" s="23" t="s">
        <v>30</v>
      </c>
      <c r="B33" s="23"/>
      <c r="C33" s="35">
        <f t="shared" si="7"/>
        <v>4892117</v>
      </c>
      <c r="D33" s="35"/>
      <c r="E33" s="35">
        <v>25229456</v>
      </c>
      <c r="F33" s="35"/>
      <c r="G33" s="35">
        <v>30121573</v>
      </c>
      <c r="H33" s="35"/>
      <c r="I33" s="35">
        <f t="shared" si="10"/>
        <v>1009968</v>
      </c>
      <c r="J33" s="35"/>
      <c r="K33" s="35">
        <v>8954877</v>
      </c>
      <c r="L33" s="35"/>
      <c r="M33" s="35">
        <v>9964845</v>
      </c>
      <c r="N33" s="35"/>
      <c r="O33" s="35">
        <v>17065530</v>
      </c>
      <c r="P33" s="35"/>
      <c r="Q33" s="35">
        <v>0</v>
      </c>
      <c r="R33" s="35"/>
      <c r="S33" s="35">
        <v>3091198</v>
      </c>
      <c r="T33" s="35"/>
      <c r="U33" s="35">
        <f t="shared" si="2"/>
        <v>20156728</v>
      </c>
      <c r="V33" s="35">
        <f t="shared" si="11"/>
        <v>0</v>
      </c>
      <c r="W33" s="35"/>
      <c r="X33" s="23" t="s">
        <v>30</v>
      </c>
      <c r="Y33" s="35"/>
      <c r="Z33" s="35">
        <v>2527082</v>
      </c>
      <c r="AA33" s="35"/>
      <c r="AB33" s="35">
        <f>2364199-828866</f>
        <v>1535333</v>
      </c>
      <c r="AC33" s="35"/>
      <c r="AD33" s="35">
        <v>828866</v>
      </c>
      <c r="AE33" s="35"/>
      <c r="AF33" s="35">
        <f t="shared" si="3"/>
        <v>162883</v>
      </c>
      <c r="AG33" s="35"/>
      <c r="AH33" s="35">
        <v>-428565</v>
      </c>
      <c r="AI33" s="35"/>
      <c r="AJ33" s="35">
        <v>0</v>
      </c>
      <c r="AK33" s="35"/>
      <c r="AL33" s="35">
        <v>0</v>
      </c>
      <c r="AM33" s="35"/>
      <c r="AN33" s="35">
        <v>528637</v>
      </c>
      <c r="AO33" s="35"/>
      <c r="AP33" s="35">
        <f t="shared" si="8"/>
        <v>262955</v>
      </c>
      <c r="AQ33" s="35"/>
      <c r="AR33" s="35">
        <v>0</v>
      </c>
      <c r="AS33" s="35"/>
      <c r="AT33" s="35">
        <v>0</v>
      </c>
      <c r="AU33" s="35"/>
      <c r="AV33" s="35">
        <f t="shared" si="4"/>
        <v>3882149</v>
      </c>
      <c r="AW33" s="35"/>
      <c r="AX33" s="23" t="s">
        <v>30</v>
      </c>
      <c r="AY33" s="35"/>
      <c r="AZ33" s="35">
        <v>8905195</v>
      </c>
      <c r="BA33" s="35"/>
      <c r="BB33" s="35">
        <v>0</v>
      </c>
      <c r="BC33" s="35"/>
      <c r="BD33" s="35">
        <v>0</v>
      </c>
      <c r="BE33" s="35"/>
      <c r="BF33" s="35">
        <f>46263+3419</f>
        <v>49682</v>
      </c>
      <c r="BG33" s="35"/>
      <c r="BH33" s="35"/>
      <c r="BI33" s="35"/>
      <c r="BJ33" s="17">
        <f t="shared" si="5"/>
        <v>8954877</v>
      </c>
    </row>
    <row r="34" spans="1:62" s="36" customFormat="1" ht="12" hidden="1">
      <c r="A34" s="23" t="s">
        <v>237</v>
      </c>
      <c r="B34" s="23"/>
      <c r="C34" s="35">
        <f t="shared" si="7"/>
        <v>0</v>
      </c>
      <c r="D34" s="35"/>
      <c r="E34" s="35"/>
      <c r="F34" s="35"/>
      <c r="G34" s="35"/>
      <c r="H34" s="35"/>
      <c r="I34" s="35">
        <f t="shared" si="10"/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>
        <f t="shared" si="2"/>
        <v>0</v>
      </c>
      <c r="V34" s="35">
        <f t="shared" si="11"/>
        <v>0</v>
      </c>
      <c r="W34" s="35"/>
      <c r="X34" s="23" t="s">
        <v>237</v>
      </c>
      <c r="Y34" s="35"/>
      <c r="Z34" s="35"/>
      <c r="AA34" s="35"/>
      <c r="AB34" s="35"/>
      <c r="AC34" s="35"/>
      <c r="AD34" s="35"/>
      <c r="AE34" s="35"/>
      <c r="AF34" s="35">
        <f t="shared" si="3"/>
        <v>0</v>
      </c>
      <c r="AG34" s="35"/>
      <c r="AH34" s="35"/>
      <c r="AI34" s="35"/>
      <c r="AJ34" s="35"/>
      <c r="AK34" s="35"/>
      <c r="AL34" s="35"/>
      <c r="AM34" s="35"/>
      <c r="AN34" s="35"/>
      <c r="AO34" s="35"/>
      <c r="AP34" s="35">
        <f t="shared" si="8"/>
        <v>0</v>
      </c>
      <c r="AQ34" s="35"/>
      <c r="AR34" s="35">
        <v>0</v>
      </c>
      <c r="AS34" s="35"/>
      <c r="AT34" s="35">
        <v>0</v>
      </c>
      <c r="AU34" s="35"/>
      <c r="AV34" s="35">
        <f t="shared" si="4"/>
        <v>0</v>
      </c>
      <c r="AW34" s="35"/>
      <c r="AX34" s="23" t="s">
        <v>237</v>
      </c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17">
        <f t="shared" si="5"/>
        <v>0</v>
      </c>
    </row>
    <row r="35" spans="1:62" s="36" customFormat="1" ht="12">
      <c r="A35" s="23" t="s">
        <v>32</v>
      </c>
      <c r="B35" s="23"/>
      <c r="C35" s="35">
        <f t="shared" si="7"/>
        <v>6219000</v>
      </c>
      <c r="D35" s="35"/>
      <c r="E35" s="35">
        <v>32364000</v>
      </c>
      <c r="F35" s="35"/>
      <c r="G35" s="35">
        <v>38583000</v>
      </c>
      <c r="H35" s="35"/>
      <c r="I35" s="35">
        <f t="shared" si="10"/>
        <v>2664000</v>
      </c>
      <c r="J35" s="35"/>
      <c r="K35" s="35">
        <v>16864000</v>
      </c>
      <c r="L35" s="35"/>
      <c r="M35" s="35">
        <v>19528000</v>
      </c>
      <c r="N35" s="35"/>
      <c r="O35" s="35">
        <v>15072000</v>
      </c>
      <c r="P35" s="35"/>
      <c r="Q35" s="35">
        <v>0</v>
      </c>
      <c r="R35" s="35"/>
      <c r="S35" s="35">
        <v>3983000</v>
      </c>
      <c r="T35" s="35"/>
      <c r="U35" s="35">
        <f t="shared" si="2"/>
        <v>19055000</v>
      </c>
      <c r="V35" s="35">
        <f t="shared" si="11"/>
        <v>0</v>
      </c>
      <c r="W35" s="35"/>
      <c r="X35" s="23" t="s">
        <v>32</v>
      </c>
      <c r="Y35" s="35"/>
      <c r="Z35" s="35">
        <v>6686000</v>
      </c>
      <c r="AA35" s="35"/>
      <c r="AB35" s="35">
        <f>6634000-434000</f>
        <v>6200000</v>
      </c>
      <c r="AC35" s="35"/>
      <c r="AD35" s="35">
        <v>434000</v>
      </c>
      <c r="AE35" s="35"/>
      <c r="AF35" s="35">
        <f t="shared" si="3"/>
        <v>52000</v>
      </c>
      <c r="AG35" s="35"/>
      <c r="AH35" s="35">
        <v>-90000</v>
      </c>
      <c r="AI35" s="35"/>
      <c r="AJ35" s="35">
        <v>0</v>
      </c>
      <c r="AK35" s="35"/>
      <c r="AL35" s="35">
        <v>52000</v>
      </c>
      <c r="AM35" s="35"/>
      <c r="AN35" s="35">
        <v>18000</v>
      </c>
      <c r="AO35" s="35"/>
      <c r="AP35" s="35">
        <f t="shared" si="8"/>
        <v>-72000</v>
      </c>
      <c r="AQ35" s="35"/>
      <c r="AR35" s="35">
        <v>0</v>
      </c>
      <c r="AS35" s="35"/>
      <c r="AT35" s="35">
        <v>0</v>
      </c>
      <c r="AU35" s="35"/>
      <c r="AV35" s="35">
        <f t="shared" si="4"/>
        <v>3555000</v>
      </c>
      <c r="AW35" s="35"/>
      <c r="AX35" s="23" t="s">
        <v>32</v>
      </c>
      <c r="AY35" s="35"/>
      <c r="AZ35" s="35">
        <v>8770000</v>
      </c>
      <c r="BA35" s="35"/>
      <c r="BB35" s="35">
        <v>0</v>
      </c>
      <c r="BC35" s="35"/>
      <c r="BD35" s="35">
        <v>7731000</v>
      </c>
      <c r="BE35" s="35"/>
      <c r="BF35" s="35">
        <f>225000+138000</f>
        <v>363000</v>
      </c>
      <c r="BG35" s="35"/>
      <c r="BH35" s="35"/>
      <c r="BI35" s="35"/>
      <c r="BJ35" s="17">
        <f t="shared" si="5"/>
        <v>16864000</v>
      </c>
    </row>
    <row r="36" spans="1:62" s="36" customFormat="1" ht="12">
      <c r="A36" s="23" t="s">
        <v>33</v>
      </c>
      <c r="B36" s="23"/>
      <c r="C36" s="35">
        <f t="shared" si="7"/>
        <v>2880403</v>
      </c>
      <c r="D36" s="35"/>
      <c r="E36" s="35">
        <v>18132839</v>
      </c>
      <c r="F36" s="35"/>
      <c r="G36" s="35">
        <v>21013242</v>
      </c>
      <c r="H36" s="35"/>
      <c r="I36" s="35">
        <f>+M36-K36</f>
        <v>1396770</v>
      </c>
      <c r="J36" s="35"/>
      <c r="K36" s="35">
        <v>2720638</v>
      </c>
      <c r="L36" s="35"/>
      <c r="M36" s="35">
        <v>4117408</v>
      </c>
      <c r="N36" s="35"/>
      <c r="O36" s="35">
        <v>14525199</v>
      </c>
      <c r="P36" s="35"/>
      <c r="Q36" s="35">
        <v>0</v>
      </c>
      <c r="R36" s="35"/>
      <c r="S36" s="35">
        <v>2370635</v>
      </c>
      <c r="T36" s="35"/>
      <c r="U36" s="35">
        <f t="shared" si="2"/>
        <v>16895834</v>
      </c>
      <c r="V36" s="35">
        <f t="shared" si="11"/>
        <v>0</v>
      </c>
      <c r="W36" s="35"/>
      <c r="X36" s="23" t="s">
        <v>33</v>
      </c>
      <c r="Y36" s="35"/>
      <c r="Z36" s="35">
        <v>2574188</v>
      </c>
      <c r="AA36" s="35"/>
      <c r="AB36" s="35">
        <f>2719807-392118</f>
        <v>2327689</v>
      </c>
      <c r="AC36" s="35"/>
      <c r="AD36" s="35">
        <v>392118</v>
      </c>
      <c r="AE36" s="35"/>
      <c r="AF36" s="35">
        <f t="shared" si="3"/>
        <v>-145619</v>
      </c>
      <c r="AG36" s="35"/>
      <c r="AH36" s="35">
        <v>-110676</v>
      </c>
      <c r="AI36" s="35"/>
      <c r="AJ36" s="35">
        <v>0</v>
      </c>
      <c r="AK36" s="35"/>
      <c r="AL36" s="35">
        <v>0</v>
      </c>
      <c r="AM36" s="35"/>
      <c r="AN36" s="35">
        <v>1140901</v>
      </c>
      <c r="AO36" s="35"/>
      <c r="AP36" s="35">
        <f t="shared" si="8"/>
        <v>884606</v>
      </c>
      <c r="AQ36" s="35"/>
      <c r="AR36" s="35">
        <v>0</v>
      </c>
      <c r="AS36" s="35"/>
      <c r="AT36" s="35">
        <v>0</v>
      </c>
      <c r="AU36" s="35"/>
      <c r="AV36" s="35">
        <f t="shared" si="4"/>
        <v>1483633</v>
      </c>
      <c r="AW36" s="35"/>
      <c r="AX36" s="23" t="s">
        <v>33</v>
      </c>
      <c r="AY36" s="35"/>
      <c r="AZ36" s="35">
        <v>0</v>
      </c>
      <c r="BA36" s="35"/>
      <c r="BB36" s="35">
        <v>0</v>
      </c>
      <c r="BC36" s="35"/>
      <c r="BD36" s="35">
        <f>2466498+197025</f>
        <v>2663523</v>
      </c>
      <c r="BE36" s="35"/>
      <c r="BF36" s="35">
        <f>4999+52116</f>
        <v>57115</v>
      </c>
      <c r="BG36" s="35"/>
      <c r="BH36" s="35"/>
      <c r="BI36" s="35"/>
      <c r="BJ36" s="17">
        <f t="shared" si="5"/>
        <v>2720638</v>
      </c>
    </row>
    <row r="37" spans="1:62" s="36" customFormat="1" ht="12" hidden="1">
      <c r="A37" s="23" t="s">
        <v>34</v>
      </c>
      <c r="B37" s="23"/>
      <c r="C37" s="35">
        <f t="shared" si="7"/>
        <v>0</v>
      </c>
      <c r="D37" s="35"/>
      <c r="E37" s="35"/>
      <c r="F37" s="35"/>
      <c r="G37" s="35"/>
      <c r="H37" s="35"/>
      <c r="I37" s="35">
        <f t="shared" si="10"/>
        <v>0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>
        <f t="shared" si="2"/>
        <v>0</v>
      </c>
      <c r="V37" s="35">
        <f t="shared" si="11"/>
        <v>0</v>
      </c>
      <c r="W37" s="35"/>
      <c r="X37" s="23" t="s">
        <v>34</v>
      </c>
      <c r="Y37" s="35"/>
      <c r="Z37" s="35"/>
      <c r="AA37" s="35"/>
      <c r="AB37" s="35"/>
      <c r="AC37" s="35"/>
      <c r="AD37" s="35"/>
      <c r="AE37" s="35"/>
      <c r="AF37" s="35">
        <f t="shared" si="3"/>
        <v>0</v>
      </c>
      <c r="AG37" s="35"/>
      <c r="AH37" s="35"/>
      <c r="AI37" s="35"/>
      <c r="AJ37" s="35"/>
      <c r="AK37" s="35"/>
      <c r="AL37" s="35"/>
      <c r="AM37" s="35"/>
      <c r="AN37" s="35"/>
      <c r="AO37" s="35"/>
      <c r="AP37" s="35">
        <f t="shared" si="8"/>
        <v>0</v>
      </c>
      <c r="AQ37" s="35"/>
      <c r="AR37" s="35">
        <v>0</v>
      </c>
      <c r="AS37" s="35"/>
      <c r="AT37" s="35">
        <v>0</v>
      </c>
      <c r="AU37" s="35"/>
      <c r="AV37" s="35">
        <f t="shared" si="4"/>
        <v>0</v>
      </c>
      <c r="AW37" s="35"/>
      <c r="AX37" s="23" t="s">
        <v>34</v>
      </c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17">
        <f t="shared" si="5"/>
        <v>0</v>
      </c>
    </row>
    <row r="38" spans="1:62" s="36" customFormat="1" ht="12">
      <c r="A38" s="23" t="s">
        <v>35</v>
      </c>
      <c r="B38" s="23"/>
      <c r="C38" s="35">
        <f t="shared" si="7"/>
        <v>6713787</v>
      </c>
      <c r="D38" s="35"/>
      <c r="E38" s="35">
        <v>36785902</v>
      </c>
      <c r="F38" s="35"/>
      <c r="G38" s="35">
        <v>43499689</v>
      </c>
      <c r="H38" s="35"/>
      <c r="I38" s="35">
        <f t="shared" si="10"/>
        <v>1162326</v>
      </c>
      <c r="J38" s="35"/>
      <c r="K38" s="35">
        <v>15539795</v>
      </c>
      <c r="L38" s="35"/>
      <c r="M38" s="35">
        <v>16702121</v>
      </c>
      <c r="N38" s="35"/>
      <c r="O38" s="35">
        <v>20561770</v>
      </c>
      <c r="P38" s="35"/>
      <c r="Q38" s="35">
        <v>0</v>
      </c>
      <c r="R38" s="35"/>
      <c r="S38" s="35">
        <v>6235798</v>
      </c>
      <c r="T38" s="35"/>
      <c r="U38" s="35">
        <f t="shared" si="2"/>
        <v>26797568</v>
      </c>
      <c r="V38" s="35">
        <f t="shared" si="11"/>
        <v>0</v>
      </c>
      <c r="W38" s="35"/>
      <c r="X38" s="23" t="s">
        <v>35</v>
      </c>
      <c r="Y38" s="35"/>
      <c r="Z38" s="35">
        <v>7069591</v>
      </c>
      <c r="AA38" s="35"/>
      <c r="AB38" s="35">
        <f>6911955-1532406</f>
        <v>5379549</v>
      </c>
      <c r="AC38" s="35"/>
      <c r="AD38" s="35">
        <v>1532406</v>
      </c>
      <c r="AE38" s="35"/>
      <c r="AF38" s="35">
        <f t="shared" si="3"/>
        <v>157636</v>
      </c>
      <c r="AG38" s="35"/>
      <c r="AH38" s="35">
        <v>-484456</v>
      </c>
      <c r="AI38" s="35"/>
      <c r="AJ38" s="35">
        <v>88000</v>
      </c>
      <c r="AK38" s="35"/>
      <c r="AL38" s="35">
        <v>42934</v>
      </c>
      <c r="AM38" s="35"/>
      <c r="AN38" s="35">
        <v>204919</v>
      </c>
      <c r="AO38" s="35"/>
      <c r="AP38" s="35">
        <f t="shared" si="8"/>
        <v>-76835</v>
      </c>
      <c r="AQ38" s="35"/>
      <c r="AR38" s="35">
        <v>0</v>
      </c>
      <c r="AS38" s="35"/>
      <c r="AT38" s="35">
        <v>0</v>
      </c>
      <c r="AU38" s="35"/>
      <c r="AV38" s="35">
        <f t="shared" si="4"/>
        <v>5551461</v>
      </c>
      <c r="AW38" s="35"/>
      <c r="AX38" s="23" t="s">
        <v>35</v>
      </c>
      <c r="AY38" s="35"/>
      <c r="AZ38" s="35">
        <v>0</v>
      </c>
      <c r="BA38" s="35"/>
      <c r="BB38" s="35">
        <v>3403000</v>
      </c>
      <c r="BC38" s="35"/>
      <c r="BD38" s="35">
        <f>11310172+696193</f>
        <v>12006365</v>
      </c>
      <c r="BE38" s="35"/>
      <c r="BF38" s="35">
        <v>130430</v>
      </c>
      <c r="BG38" s="35"/>
      <c r="BH38" s="35"/>
      <c r="BI38" s="35"/>
      <c r="BJ38" s="17">
        <f t="shared" si="5"/>
        <v>15539795</v>
      </c>
    </row>
    <row r="39" spans="1:62" s="36" customFormat="1" ht="12">
      <c r="A39" s="23" t="s">
        <v>181</v>
      </c>
      <c r="B39" s="23"/>
      <c r="C39" s="35">
        <f t="shared" si="7"/>
        <v>12933638</v>
      </c>
      <c r="D39" s="35"/>
      <c r="E39" s="35">
        <v>81780691</v>
      </c>
      <c r="F39" s="35"/>
      <c r="G39" s="35">
        <v>94714329</v>
      </c>
      <c r="H39" s="35"/>
      <c r="I39" s="35">
        <f>+M39-K39</f>
        <v>2880661</v>
      </c>
      <c r="J39" s="35"/>
      <c r="K39" s="35">
        <v>41626687</v>
      </c>
      <c r="L39" s="35"/>
      <c r="M39" s="35">
        <v>44507348</v>
      </c>
      <c r="N39" s="35"/>
      <c r="O39" s="35">
        <v>37239312</v>
      </c>
      <c r="P39" s="35"/>
      <c r="Q39" s="35">
        <v>3415597</v>
      </c>
      <c r="R39" s="35"/>
      <c r="S39" s="35">
        <v>9552072</v>
      </c>
      <c r="T39" s="35"/>
      <c r="U39" s="35">
        <f t="shared" si="2"/>
        <v>50206981</v>
      </c>
      <c r="V39" s="35">
        <f t="shared" si="11"/>
        <v>0</v>
      </c>
      <c r="W39" s="35"/>
      <c r="X39" s="23" t="s">
        <v>181</v>
      </c>
      <c r="Y39" s="35"/>
      <c r="Z39" s="35">
        <v>9830540</v>
      </c>
      <c r="AA39" s="35"/>
      <c r="AB39" s="35">
        <f>6849055-2149279</f>
        <v>4699776</v>
      </c>
      <c r="AC39" s="35"/>
      <c r="AD39" s="35">
        <v>2149279</v>
      </c>
      <c r="AE39" s="35"/>
      <c r="AF39" s="35">
        <f t="shared" si="3"/>
        <v>2981485</v>
      </c>
      <c r="AG39" s="35"/>
      <c r="AH39" s="35">
        <v>-2128115</v>
      </c>
      <c r="AI39" s="35"/>
      <c r="AJ39" s="35">
        <v>545173</v>
      </c>
      <c r="AK39" s="35"/>
      <c r="AL39" s="35">
        <v>4738</v>
      </c>
      <c r="AM39" s="35"/>
      <c r="AN39" s="35">
        <v>115474</v>
      </c>
      <c r="AO39" s="35"/>
      <c r="AP39" s="35">
        <f t="shared" si="8"/>
        <v>1509279</v>
      </c>
      <c r="AQ39" s="35"/>
      <c r="AR39" s="35">
        <v>0</v>
      </c>
      <c r="AS39" s="35"/>
      <c r="AT39" s="35">
        <v>0</v>
      </c>
      <c r="AU39" s="35"/>
      <c r="AV39" s="35">
        <f t="shared" si="4"/>
        <v>10052977</v>
      </c>
      <c r="AW39" s="35"/>
      <c r="AX39" s="23" t="s">
        <v>181</v>
      </c>
      <c r="AY39" s="35"/>
      <c r="AZ39" s="35">
        <v>9914623</v>
      </c>
      <c r="BA39" s="35"/>
      <c r="BB39" s="35">
        <v>24874590</v>
      </c>
      <c r="BC39" s="35"/>
      <c r="BD39" s="35">
        <v>0</v>
      </c>
      <c r="BE39" s="35"/>
      <c r="BF39" s="35">
        <f>5769119+1068355</f>
        <v>6837474</v>
      </c>
      <c r="BG39" s="35"/>
      <c r="BH39" s="35"/>
      <c r="BI39" s="35"/>
      <c r="BJ39" s="17">
        <f t="shared" si="5"/>
        <v>41626687</v>
      </c>
    </row>
    <row r="40" spans="1:62" s="36" customFormat="1" ht="12" hidden="1">
      <c r="A40" s="23" t="s">
        <v>242</v>
      </c>
      <c r="B40" s="23"/>
      <c r="C40" s="35">
        <f t="shared" si="7"/>
        <v>0</v>
      </c>
      <c r="D40" s="35"/>
      <c r="E40" s="24"/>
      <c r="F40" s="35"/>
      <c r="G40" s="24"/>
      <c r="H40" s="35"/>
      <c r="I40" s="35">
        <f t="shared" si="10"/>
        <v>0</v>
      </c>
      <c r="J40" s="35"/>
      <c r="K40" s="24"/>
      <c r="L40" s="35"/>
      <c r="M40" s="24"/>
      <c r="N40" s="35"/>
      <c r="O40" s="24"/>
      <c r="P40" s="35"/>
      <c r="Q40" s="24"/>
      <c r="R40" s="35"/>
      <c r="S40" s="24"/>
      <c r="T40" s="35"/>
      <c r="U40" s="35">
        <f t="shared" si="2"/>
        <v>0</v>
      </c>
      <c r="V40" s="35">
        <f t="shared" si="11"/>
        <v>0</v>
      </c>
      <c r="W40" s="35"/>
      <c r="X40" s="23" t="s">
        <v>36</v>
      </c>
      <c r="Y40" s="35"/>
      <c r="Z40" s="24"/>
      <c r="AA40" s="35"/>
      <c r="AB40" s="24"/>
      <c r="AC40" s="35"/>
      <c r="AD40" s="24"/>
      <c r="AE40" s="35"/>
      <c r="AF40" s="35">
        <f t="shared" si="3"/>
        <v>0</v>
      </c>
      <c r="AG40" s="35"/>
      <c r="AH40" s="24"/>
      <c r="AI40" s="35"/>
      <c r="AJ40" s="24"/>
      <c r="AK40" s="35"/>
      <c r="AL40" s="24"/>
      <c r="AM40" s="35"/>
      <c r="AN40" s="24"/>
      <c r="AO40" s="35"/>
      <c r="AP40" s="35">
        <f t="shared" si="8"/>
        <v>0</v>
      </c>
      <c r="AQ40" s="35"/>
      <c r="AR40" s="35">
        <v>0</v>
      </c>
      <c r="AS40" s="35"/>
      <c r="AT40" s="35">
        <v>0</v>
      </c>
      <c r="AU40" s="35"/>
      <c r="AV40" s="35">
        <f t="shared" si="4"/>
        <v>0</v>
      </c>
      <c r="AW40" s="35"/>
      <c r="AX40" s="23" t="s">
        <v>36</v>
      </c>
      <c r="AY40" s="35"/>
      <c r="AZ40" s="24"/>
      <c r="BA40" s="35"/>
      <c r="BB40" s="24"/>
      <c r="BC40" s="35"/>
      <c r="BD40" s="24"/>
      <c r="BE40" s="35"/>
      <c r="BF40" s="24"/>
      <c r="BG40" s="35"/>
      <c r="BH40" s="35"/>
      <c r="BI40" s="35"/>
      <c r="BJ40" s="17">
        <f t="shared" si="5"/>
        <v>0</v>
      </c>
    </row>
    <row r="41" spans="1:62" s="36" customFormat="1" ht="12" hidden="1">
      <c r="A41" s="23" t="s">
        <v>243</v>
      </c>
      <c r="B41" s="23"/>
      <c r="C41" s="35">
        <f t="shared" si="7"/>
        <v>0</v>
      </c>
      <c r="D41" s="35"/>
      <c r="E41" s="24"/>
      <c r="F41" s="35"/>
      <c r="G41" s="24"/>
      <c r="H41" s="35"/>
      <c r="I41" s="35">
        <f t="shared" si="10"/>
        <v>0</v>
      </c>
      <c r="J41" s="35"/>
      <c r="K41" s="24"/>
      <c r="L41" s="35"/>
      <c r="M41" s="24"/>
      <c r="N41" s="35"/>
      <c r="O41" s="24"/>
      <c r="P41" s="35"/>
      <c r="Q41" s="24"/>
      <c r="R41" s="35"/>
      <c r="S41" s="24"/>
      <c r="T41" s="35"/>
      <c r="U41" s="35">
        <f t="shared" si="2"/>
        <v>0</v>
      </c>
      <c r="V41" s="35">
        <f t="shared" si="11"/>
        <v>0</v>
      </c>
      <c r="W41" s="35"/>
      <c r="X41" s="23" t="s">
        <v>37</v>
      </c>
      <c r="Y41" s="35"/>
      <c r="Z41" s="24"/>
      <c r="AA41" s="35"/>
      <c r="AB41" s="24"/>
      <c r="AC41" s="35"/>
      <c r="AD41" s="24"/>
      <c r="AE41" s="35"/>
      <c r="AF41" s="35">
        <f t="shared" si="3"/>
        <v>0</v>
      </c>
      <c r="AG41" s="35"/>
      <c r="AH41" s="24"/>
      <c r="AI41" s="35"/>
      <c r="AJ41" s="24"/>
      <c r="AK41" s="35"/>
      <c r="AL41" s="24"/>
      <c r="AM41" s="35"/>
      <c r="AN41" s="24"/>
      <c r="AO41" s="35"/>
      <c r="AP41" s="35">
        <f t="shared" si="8"/>
        <v>0</v>
      </c>
      <c r="AQ41" s="35"/>
      <c r="AR41" s="35">
        <v>0</v>
      </c>
      <c r="AS41" s="35"/>
      <c r="AT41" s="35">
        <v>0</v>
      </c>
      <c r="AU41" s="35"/>
      <c r="AV41" s="35">
        <f t="shared" si="4"/>
        <v>0</v>
      </c>
      <c r="AW41" s="35"/>
      <c r="AX41" s="23" t="s">
        <v>37</v>
      </c>
      <c r="AY41" s="35"/>
      <c r="AZ41" s="24"/>
      <c r="BA41" s="35"/>
      <c r="BB41" s="24"/>
      <c r="BC41" s="35"/>
      <c r="BD41" s="24"/>
      <c r="BE41" s="35"/>
      <c r="BF41" s="24"/>
      <c r="BG41" s="35"/>
      <c r="BH41" s="35"/>
      <c r="BI41" s="35"/>
      <c r="BJ41" s="17">
        <f t="shared" si="5"/>
        <v>0</v>
      </c>
    </row>
    <row r="42" spans="1:62" s="36" customFormat="1" ht="12" hidden="1">
      <c r="A42" s="23" t="s">
        <v>38</v>
      </c>
      <c r="B42" s="23"/>
      <c r="C42" s="35">
        <f t="shared" si="7"/>
        <v>0</v>
      </c>
      <c r="D42" s="35"/>
      <c r="E42" s="24"/>
      <c r="F42" s="35"/>
      <c r="G42" s="24"/>
      <c r="H42" s="35"/>
      <c r="I42" s="35">
        <f t="shared" si="10"/>
        <v>0</v>
      </c>
      <c r="J42" s="35"/>
      <c r="K42" s="24"/>
      <c r="L42" s="35"/>
      <c r="M42" s="24"/>
      <c r="N42" s="35"/>
      <c r="O42" s="24"/>
      <c r="P42" s="35"/>
      <c r="Q42" s="24"/>
      <c r="R42" s="35"/>
      <c r="S42" s="24"/>
      <c r="T42" s="35"/>
      <c r="U42" s="35">
        <f t="shared" si="2"/>
        <v>0</v>
      </c>
      <c r="V42" s="35">
        <f t="shared" si="11"/>
        <v>0</v>
      </c>
      <c r="W42" s="35"/>
      <c r="X42" s="23" t="s">
        <v>38</v>
      </c>
      <c r="Y42" s="35"/>
      <c r="Z42" s="24"/>
      <c r="AA42" s="35"/>
      <c r="AB42" s="24"/>
      <c r="AC42" s="35"/>
      <c r="AD42" s="24"/>
      <c r="AE42" s="35"/>
      <c r="AF42" s="35">
        <f t="shared" si="3"/>
        <v>0</v>
      </c>
      <c r="AG42" s="35"/>
      <c r="AH42" s="24"/>
      <c r="AI42" s="35"/>
      <c r="AJ42" s="24"/>
      <c r="AK42" s="35"/>
      <c r="AL42" s="24"/>
      <c r="AM42" s="35"/>
      <c r="AN42" s="24"/>
      <c r="AO42" s="35"/>
      <c r="AP42" s="35">
        <f t="shared" si="8"/>
        <v>0</v>
      </c>
      <c r="AQ42" s="35"/>
      <c r="AR42" s="35">
        <v>0</v>
      </c>
      <c r="AS42" s="35"/>
      <c r="AT42" s="35">
        <v>0</v>
      </c>
      <c r="AU42" s="35"/>
      <c r="AV42" s="35">
        <f t="shared" si="4"/>
        <v>0</v>
      </c>
      <c r="AW42" s="35"/>
      <c r="AX42" s="23" t="s">
        <v>38</v>
      </c>
      <c r="AY42" s="35"/>
      <c r="AZ42" s="24"/>
      <c r="BA42" s="35"/>
      <c r="BB42" s="24"/>
      <c r="BC42" s="35"/>
      <c r="BD42" s="24"/>
      <c r="BE42" s="35"/>
      <c r="BF42" s="24"/>
      <c r="BG42" s="35"/>
      <c r="BH42" s="35"/>
      <c r="BI42" s="35"/>
      <c r="BJ42" s="17">
        <f t="shared" si="5"/>
        <v>0</v>
      </c>
    </row>
    <row r="43" spans="1:62" s="36" customFormat="1" ht="12" hidden="1">
      <c r="A43" s="23" t="s">
        <v>167</v>
      </c>
      <c r="B43" s="23"/>
      <c r="C43" s="35">
        <f t="shared" si="7"/>
        <v>0</v>
      </c>
      <c r="D43" s="35"/>
      <c r="E43" s="24"/>
      <c r="F43" s="35"/>
      <c r="G43" s="24"/>
      <c r="H43" s="35"/>
      <c r="I43" s="35">
        <f t="shared" si="10"/>
        <v>0</v>
      </c>
      <c r="J43" s="35"/>
      <c r="K43" s="24"/>
      <c r="L43" s="35"/>
      <c r="M43" s="24"/>
      <c r="N43" s="35"/>
      <c r="O43" s="24"/>
      <c r="P43" s="35"/>
      <c r="Q43" s="24"/>
      <c r="R43" s="35"/>
      <c r="S43" s="24"/>
      <c r="T43" s="35"/>
      <c r="U43" s="35">
        <f t="shared" si="2"/>
        <v>0</v>
      </c>
      <c r="V43" s="35">
        <f t="shared" si="11"/>
        <v>0</v>
      </c>
      <c r="W43" s="35"/>
      <c r="X43" s="23" t="s">
        <v>167</v>
      </c>
      <c r="Y43" s="35"/>
      <c r="Z43" s="24"/>
      <c r="AA43" s="35"/>
      <c r="AB43" s="24"/>
      <c r="AC43" s="35"/>
      <c r="AD43" s="24"/>
      <c r="AE43" s="35"/>
      <c r="AF43" s="35">
        <f t="shared" si="3"/>
        <v>0</v>
      </c>
      <c r="AG43" s="35"/>
      <c r="AH43" s="24"/>
      <c r="AI43" s="35"/>
      <c r="AJ43" s="24"/>
      <c r="AK43" s="35"/>
      <c r="AL43" s="24"/>
      <c r="AM43" s="35"/>
      <c r="AN43" s="24"/>
      <c r="AO43" s="35"/>
      <c r="AP43" s="35">
        <f t="shared" si="8"/>
        <v>0</v>
      </c>
      <c r="AQ43" s="35"/>
      <c r="AR43" s="35">
        <v>0</v>
      </c>
      <c r="AS43" s="35"/>
      <c r="AT43" s="35">
        <v>0</v>
      </c>
      <c r="AU43" s="35"/>
      <c r="AV43" s="35">
        <f t="shared" si="4"/>
        <v>0</v>
      </c>
      <c r="AW43" s="35"/>
      <c r="AX43" s="23" t="s">
        <v>167</v>
      </c>
      <c r="AY43" s="35"/>
      <c r="AZ43" s="24"/>
      <c r="BA43" s="35"/>
      <c r="BB43" s="24"/>
      <c r="BC43" s="35"/>
      <c r="BD43" s="24"/>
      <c r="BE43" s="35"/>
      <c r="BF43" s="24"/>
      <c r="BG43" s="35"/>
      <c r="BH43" s="35"/>
      <c r="BI43" s="35"/>
      <c r="BJ43" s="17">
        <f t="shared" si="5"/>
        <v>0</v>
      </c>
    </row>
    <row r="44" spans="1:62" s="36" customFormat="1" ht="12" hidden="1">
      <c r="A44" s="23" t="s">
        <v>39</v>
      </c>
      <c r="B44" s="23"/>
      <c r="C44" s="35">
        <f t="shared" si="7"/>
        <v>0</v>
      </c>
      <c r="D44" s="35"/>
      <c r="E44" s="24"/>
      <c r="F44" s="35"/>
      <c r="G44" s="24"/>
      <c r="H44" s="35"/>
      <c r="I44" s="35">
        <f t="shared" si="10"/>
        <v>0</v>
      </c>
      <c r="J44" s="35"/>
      <c r="K44" s="24"/>
      <c r="L44" s="35"/>
      <c r="M44" s="24"/>
      <c r="N44" s="35"/>
      <c r="O44" s="24"/>
      <c r="P44" s="35"/>
      <c r="Q44" s="24"/>
      <c r="R44" s="35"/>
      <c r="S44" s="24"/>
      <c r="T44" s="35"/>
      <c r="U44" s="35">
        <f t="shared" si="2"/>
        <v>0</v>
      </c>
      <c r="V44" s="35">
        <f t="shared" si="11"/>
        <v>0</v>
      </c>
      <c r="W44" s="35"/>
      <c r="X44" s="23" t="s">
        <v>39</v>
      </c>
      <c r="Y44" s="35"/>
      <c r="Z44" s="24"/>
      <c r="AA44" s="35"/>
      <c r="AB44" s="24"/>
      <c r="AC44" s="35"/>
      <c r="AD44" s="24"/>
      <c r="AE44" s="35"/>
      <c r="AF44" s="35">
        <f t="shared" si="3"/>
        <v>0</v>
      </c>
      <c r="AG44" s="35"/>
      <c r="AH44" s="24"/>
      <c r="AI44" s="35"/>
      <c r="AJ44" s="24"/>
      <c r="AK44" s="35"/>
      <c r="AL44" s="24"/>
      <c r="AM44" s="35"/>
      <c r="AN44" s="24"/>
      <c r="AO44" s="35"/>
      <c r="AP44" s="35">
        <f t="shared" si="8"/>
        <v>0</v>
      </c>
      <c r="AQ44" s="35"/>
      <c r="AR44" s="35">
        <v>0</v>
      </c>
      <c r="AS44" s="35"/>
      <c r="AT44" s="35">
        <v>0</v>
      </c>
      <c r="AU44" s="35"/>
      <c r="AV44" s="35">
        <f t="shared" si="4"/>
        <v>0</v>
      </c>
      <c r="AW44" s="35"/>
      <c r="AX44" s="23" t="s">
        <v>39</v>
      </c>
      <c r="AY44" s="35"/>
      <c r="AZ44" s="24"/>
      <c r="BA44" s="35"/>
      <c r="BB44" s="24"/>
      <c r="BC44" s="35"/>
      <c r="BD44" s="24"/>
      <c r="BE44" s="35"/>
      <c r="BF44" s="24"/>
      <c r="BG44" s="35"/>
      <c r="BH44" s="35"/>
      <c r="BI44" s="35"/>
      <c r="BJ44" s="17">
        <f t="shared" si="5"/>
        <v>0</v>
      </c>
    </row>
    <row r="45" spans="1:62" s="36" customFormat="1" ht="12" hidden="1">
      <c r="A45" s="23" t="s">
        <v>40</v>
      </c>
      <c r="B45" s="23"/>
      <c r="C45" s="35">
        <f t="shared" si="7"/>
        <v>0</v>
      </c>
      <c r="D45" s="35"/>
      <c r="E45" s="24"/>
      <c r="F45" s="35"/>
      <c r="G45" s="24"/>
      <c r="H45" s="35"/>
      <c r="I45" s="35">
        <f t="shared" si="10"/>
        <v>0</v>
      </c>
      <c r="J45" s="35"/>
      <c r="K45" s="24"/>
      <c r="L45" s="35"/>
      <c r="M45" s="24"/>
      <c r="N45" s="35"/>
      <c r="O45" s="24"/>
      <c r="P45" s="35"/>
      <c r="Q45" s="24"/>
      <c r="R45" s="35"/>
      <c r="S45" s="24"/>
      <c r="T45" s="35"/>
      <c r="U45" s="35">
        <f t="shared" si="2"/>
        <v>0</v>
      </c>
      <c r="V45" s="35">
        <f t="shared" si="11"/>
        <v>0</v>
      </c>
      <c r="W45" s="35"/>
      <c r="X45" s="23" t="s">
        <v>40</v>
      </c>
      <c r="Y45" s="35"/>
      <c r="Z45" s="24"/>
      <c r="AA45" s="35"/>
      <c r="AB45" s="24"/>
      <c r="AC45" s="35"/>
      <c r="AD45" s="24"/>
      <c r="AE45" s="35"/>
      <c r="AF45" s="35">
        <f t="shared" si="3"/>
        <v>0</v>
      </c>
      <c r="AG45" s="35"/>
      <c r="AH45" s="24"/>
      <c r="AI45" s="35"/>
      <c r="AJ45" s="24"/>
      <c r="AK45" s="35"/>
      <c r="AL45" s="24"/>
      <c r="AM45" s="35"/>
      <c r="AN45" s="24"/>
      <c r="AO45" s="35"/>
      <c r="AP45" s="35">
        <f t="shared" si="8"/>
        <v>0</v>
      </c>
      <c r="AQ45" s="35"/>
      <c r="AR45" s="35">
        <v>0</v>
      </c>
      <c r="AS45" s="35"/>
      <c r="AT45" s="35">
        <v>0</v>
      </c>
      <c r="AU45" s="35"/>
      <c r="AV45" s="35">
        <f t="shared" si="4"/>
        <v>0</v>
      </c>
      <c r="AW45" s="35"/>
      <c r="AX45" s="23" t="s">
        <v>40</v>
      </c>
      <c r="AY45" s="35"/>
      <c r="AZ45" s="24"/>
      <c r="BA45" s="35"/>
      <c r="BB45" s="24"/>
      <c r="BC45" s="35"/>
      <c r="BD45" s="24"/>
      <c r="BE45" s="35"/>
      <c r="BF45" s="24"/>
      <c r="BG45" s="35"/>
      <c r="BH45" s="35"/>
      <c r="BI45" s="35"/>
      <c r="BJ45" s="17">
        <f t="shared" si="5"/>
        <v>0</v>
      </c>
    </row>
    <row r="46" spans="1:62" s="36" customFormat="1" ht="12" hidden="1">
      <c r="A46" s="23" t="s">
        <v>41</v>
      </c>
      <c r="B46" s="23"/>
      <c r="C46" s="35">
        <f t="shared" si="7"/>
        <v>0</v>
      </c>
      <c r="D46" s="35"/>
      <c r="E46" s="24"/>
      <c r="F46" s="35"/>
      <c r="G46" s="24"/>
      <c r="H46" s="35"/>
      <c r="I46" s="35">
        <f t="shared" si="10"/>
        <v>0</v>
      </c>
      <c r="J46" s="35"/>
      <c r="K46" s="24"/>
      <c r="L46" s="35"/>
      <c r="M46" s="24"/>
      <c r="N46" s="35"/>
      <c r="O46" s="24"/>
      <c r="P46" s="35"/>
      <c r="Q46" s="24"/>
      <c r="R46" s="35"/>
      <c r="S46" s="24"/>
      <c r="T46" s="35"/>
      <c r="U46" s="35">
        <f t="shared" si="2"/>
        <v>0</v>
      </c>
      <c r="V46" s="35">
        <f t="shared" si="11"/>
        <v>0</v>
      </c>
      <c r="W46" s="35"/>
      <c r="X46" s="23" t="s">
        <v>41</v>
      </c>
      <c r="Y46" s="35"/>
      <c r="Z46" s="24"/>
      <c r="AA46" s="35"/>
      <c r="AB46" s="24"/>
      <c r="AC46" s="35"/>
      <c r="AD46" s="24"/>
      <c r="AE46" s="35"/>
      <c r="AF46" s="35">
        <f t="shared" si="3"/>
        <v>0</v>
      </c>
      <c r="AG46" s="35"/>
      <c r="AH46" s="24"/>
      <c r="AI46" s="35"/>
      <c r="AJ46" s="24"/>
      <c r="AK46" s="35"/>
      <c r="AL46" s="24"/>
      <c r="AM46" s="35"/>
      <c r="AN46" s="24"/>
      <c r="AO46" s="35"/>
      <c r="AP46" s="35">
        <f t="shared" si="8"/>
        <v>0</v>
      </c>
      <c r="AQ46" s="35"/>
      <c r="AR46" s="35">
        <v>0</v>
      </c>
      <c r="AS46" s="35"/>
      <c r="AT46" s="35">
        <v>0</v>
      </c>
      <c r="AU46" s="35"/>
      <c r="AV46" s="35">
        <f t="shared" si="4"/>
        <v>0</v>
      </c>
      <c r="AW46" s="35"/>
      <c r="AX46" s="23" t="s">
        <v>41</v>
      </c>
      <c r="AY46" s="35"/>
      <c r="AZ46" s="24"/>
      <c r="BA46" s="35"/>
      <c r="BB46" s="24"/>
      <c r="BC46" s="35"/>
      <c r="BD46" s="24"/>
      <c r="BE46" s="35"/>
      <c r="BF46" s="24"/>
      <c r="BG46" s="35"/>
      <c r="BH46" s="35"/>
      <c r="BI46" s="35"/>
      <c r="BJ46" s="17">
        <f t="shared" si="5"/>
        <v>0</v>
      </c>
    </row>
    <row r="47" spans="1:62" s="36" customFormat="1" ht="12" hidden="1">
      <c r="A47" s="23" t="s">
        <v>42</v>
      </c>
      <c r="B47" s="23"/>
      <c r="C47" s="35">
        <v>0</v>
      </c>
      <c r="D47" s="35"/>
      <c r="E47" s="24"/>
      <c r="F47" s="35"/>
      <c r="G47" s="24"/>
      <c r="H47" s="35"/>
      <c r="I47" s="35">
        <f t="shared" si="10"/>
        <v>0</v>
      </c>
      <c r="J47" s="35"/>
      <c r="K47" s="24"/>
      <c r="L47" s="35"/>
      <c r="M47" s="24"/>
      <c r="N47" s="35"/>
      <c r="O47" s="24"/>
      <c r="P47" s="35"/>
      <c r="Q47" s="24"/>
      <c r="R47" s="35"/>
      <c r="S47" s="24"/>
      <c r="T47" s="35"/>
      <c r="U47" s="35">
        <f t="shared" si="2"/>
        <v>0</v>
      </c>
      <c r="V47" s="35">
        <f t="shared" si="11"/>
        <v>0</v>
      </c>
      <c r="W47" s="35"/>
      <c r="X47" s="23" t="s">
        <v>42</v>
      </c>
      <c r="Y47" s="35"/>
      <c r="Z47" s="24"/>
      <c r="AA47" s="35"/>
      <c r="AB47" s="24"/>
      <c r="AC47" s="35"/>
      <c r="AD47" s="24"/>
      <c r="AE47" s="35"/>
      <c r="AF47" s="35">
        <f t="shared" si="3"/>
        <v>0</v>
      </c>
      <c r="AG47" s="35"/>
      <c r="AH47" s="24"/>
      <c r="AI47" s="35"/>
      <c r="AJ47" s="24"/>
      <c r="AK47" s="35"/>
      <c r="AL47" s="24"/>
      <c r="AM47" s="35"/>
      <c r="AN47" s="24"/>
      <c r="AO47" s="35"/>
      <c r="AP47" s="35">
        <f t="shared" si="8"/>
        <v>0</v>
      </c>
      <c r="AQ47" s="35"/>
      <c r="AR47" s="35">
        <v>0</v>
      </c>
      <c r="AS47" s="35"/>
      <c r="AT47" s="35">
        <v>0</v>
      </c>
      <c r="AU47" s="35"/>
      <c r="AV47" s="35">
        <f t="shared" si="4"/>
        <v>0</v>
      </c>
      <c r="AW47" s="35"/>
      <c r="AX47" s="23" t="s">
        <v>42</v>
      </c>
      <c r="AY47" s="35"/>
      <c r="AZ47" s="24"/>
      <c r="BA47" s="35"/>
      <c r="BB47" s="24"/>
      <c r="BC47" s="35"/>
      <c r="BD47" s="24"/>
      <c r="BE47" s="35"/>
      <c r="BF47" s="24"/>
      <c r="BG47" s="35"/>
      <c r="BH47" s="35"/>
      <c r="BI47" s="35"/>
      <c r="BJ47" s="17">
        <f t="shared" si="5"/>
        <v>0</v>
      </c>
    </row>
    <row r="48" spans="1:62" s="36" customFormat="1" ht="12" hidden="1">
      <c r="A48" s="23" t="s">
        <v>43</v>
      </c>
      <c r="B48" s="23"/>
      <c r="C48" s="35">
        <f t="shared" si="7"/>
        <v>0</v>
      </c>
      <c r="D48" s="35"/>
      <c r="E48" s="24"/>
      <c r="F48" s="35"/>
      <c r="G48" s="24"/>
      <c r="H48" s="35"/>
      <c r="I48" s="35">
        <f t="shared" si="10"/>
        <v>0</v>
      </c>
      <c r="J48" s="35"/>
      <c r="K48" s="24"/>
      <c r="L48" s="35"/>
      <c r="M48" s="24"/>
      <c r="N48" s="35"/>
      <c r="O48" s="24"/>
      <c r="P48" s="35"/>
      <c r="Q48" s="24"/>
      <c r="R48" s="35"/>
      <c r="S48" s="24"/>
      <c r="T48" s="35"/>
      <c r="U48" s="35">
        <f t="shared" si="2"/>
        <v>0</v>
      </c>
      <c r="V48" s="35">
        <f t="shared" si="11"/>
        <v>0</v>
      </c>
      <c r="W48" s="35"/>
      <c r="X48" s="23" t="s">
        <v>43</v>
      </c>
      <c r="Y48" s="35"/>
      <c r="Z48" s="24"/>
      <c r="AA48" s="35"/>
      <c r="AB48" s="24"/>
      <c r="AC48" s="35"/>
      <c r="AD48" s="24"/>
      <c r="AE48" s="35"/>
      <c r="AF48" s="35">
        <f t="shared" si="3"/>
        <v>0</v>
      </c>
      <c r="AG48" s="35"/>
      <c r="AH48" s="24"/>
      <c r="AI48" s="35"/>
      <c r="AJ48" s="24"/>
      <c r="AK48" s="35"/>
      <c r="AL48" s="24"/>
      <c r="AM48" s="35"/>
      <c r="AN48" s="24"/>
      <c r="AO48" s="35"/>
      <c r="AP48" s="35">
        <f t="shared" si="8"/>
        <v>0</v>
      </c>
      <c r="AQ48" s="35"/>
      <c r="AR48" s="35">
        <v>0</v>
      </c>
      <c r="AS48" s="35"/>
      <c r="AT48" s="35">
        <v>0</v>
      </c>
      <c r="AU48" s="35"/>
      <c r="AV48" s="35">
        <f t="shared" si="4"/>
        <v>0</v>
      </c>
      <c r="AW48" s="35"/>
      <c r="AX48" s="23" t="s">
        <v>43</v>
      </c>
      <c r="AY48" s="35"/>
      <c r="AZ48" s="24"/>
      <c r="BA48" s="35"/>
      <c r="BB48" s="24"/>
      <c r="BC48" s="35"/>
      <c r="BD48" s="24"/>
      <c r="BE48" s="35"/>
      <c r="BF48" s="24"/>
      <c r="BG48" s="35"/>
      <c r="BH48" s="35"/>
      <c r="BI48" s="35"/>
      <c r="BJ48" s="17">
        <f t="shared" si="5"/>
        <v>0</v>
      </c>
    </row>
    <row r="49" spans="1:63" s="36" customFormat="1" ht="12" hidden="1">
      <c r="A49" s="23" t="s">
        <v>44</v>
      </c>
      <c r="B49" s="23"/>
      <c r="C49" s="35">
        <f t="shared" si="7"/>
        <v>0</v>
      </c>
      <c r="D49" s="35"/>
      <c r="E49" s="24"/>
      <c r="F49" s="35"/>
      <c r="G49" s="24"/>
      <c r="H49" s="35"/>
      <c r="I49" s="35">
        <f t="shared" si="10"/>
        <v>0</v>
      </c>
      <c r="J49" s="35"/>
      <c r="K49" s="24"/>
      <c r="L49" s="35"/>
      <c r="M49" s="24"/>
      <c r="N49" s="35"/>
      <c r="O49" s="24"/>
      <c r="P49" s="35"/>
      <c r="Q49" s="24"/>
      <c r="R49" s="35"/>
      <c r="S49" s="24"/>
      <c r="T49" s="35"/>
      <c r="U49" s="35">
        <f t="shared" si="2"/>
        <v>0</v>
      </c>
      <c r="V49" s="35">
        <f t="shared" si="11"/>
        <v>0</v>
      </c>
      <c r="W49" s="35"/>
      <c r="X49" s="23" t="s">
        <v>44</v>
      </c>
      <c r="Y49" s="35"/>
      <c r="Z49" s="24"/>
      <c r="AA49" s="35"/>
      <c r="AB49" s="24"/>
      <c r="AC49" s="35"/>
      <c r="AD49" s="24"/>
      <c r="AE49" s="35"/>
      <c r="AF49" s="35">
        <f t="shared" si="3"/>
        <v>0</v>
      </c>
      <c r="AG49" s="35"/>
      <c r="AH49" s="24"/>
      <c r="AI49" s="35"/>
      <c r="AJ49" s="24"/>
      <c r="AK49" s="35"/>
      <c r="AL49" s="24"/>
      <c r="AM49" s="35"/>
      <c r="AN49" s="24"/>
      <c r="AO49" s="35"/>
      <c r="AP49" s="35">
        <f t="shared" si="8"/>
        <v>0</v>
      </c>
      <c r="AQ49" s="35"/>
      <c r="AR49" s="35">
        <v>0</v>
      </c>
      <c r="AS49" s="35"/>
      <c r="AT49" s="35">
        <v>0</v>
      </c>
      <c r="AU49" s="35"/>
      <c r="AV49" s="35">
        <f t="shared" si="4"/>
        <v>0</v>
      </c>
      <c r="AW49" s="35"/>
      <c r="AX49" s="23" t="s">
        <v>44</v>
      </c>
      <c r="AY49" s="35"/>
      <c r="AZ49" s="24"/>
      <c r="BA49" s="35"/>
      <c r="BB49" s="24"/>
      <c r="BC49" s="35"/>
      <c r="BD49" s="24"/>
      <c r="BE49" s="35"/>
      <c r="BF49" s="24"/>
      <c r="BG49" s="35"/>
      <c r="BH49" s="35"/>
      <c r="BI49" s="35"/>
      <c r="BJ49" s="17">
        <f t="shared" si="5"/>
        <v>0</v>
      </c>
      <c r="BK49" s="17"/>
    </row>
    <row r="50" spans="1:62" s="36" customFormat="1" ht="12" hidden="1">
      <c r="A50" s="23" t="s">
        <v>239</v>
      </c>
      <c r="B50" s="23"/>
      <c r="C50" s="35">
        <f t="shared" si="7"/>
        <v>0</v>
      </c>
      <c r="D50" s="35"/>
      <c r="E50" s="24"/>
      <c r="F50" s="35"/>
      <c r="G50" s="24"/>
      <c r="H50" s="35"/>
      <c r="I50" s="35">
        <f t="shared" si="10"/>
        <v>0</v>
      </c>
      <c r="J50" s="35"/>
      <c r="K50" s="24"/>
      <c r="L50" s="35"/>
      <c r="M50" s="24"/>
      <c r="N50" s="35"/>
      <c r="O50" s="24"/>
      <c r="P50" s="35"/>
      <c r="Q50" s="24"/>
      <c r="R50" s="35"/>
      <c r="S50" s="24"/>
      <c r="T50" s="35"/>
      <c r="U50" s="35">
        <f t="shared" si="2"/>
        <v>0</v>
      </c>
      <c r="V50" s="35">
        <f t="shared" si="11"/>
        <v>0</v>
      </c>
      <c r="W50" s="35"/>
      <c r="X50" s="23" t="s">
        <v>45</v>
      </c>
      <c r="Y50" s="35"/>
      <c r="Z50" s="24"/>
      <c r="AA50" s="35"/>
      <c r="AB50" s="24"/>
      <c r="AC50" s="35"/>
      <c r="AD50" s="24"/>
      <c r="AE50" s="35"/>
      <c r="AF50" s="35">
        <f t="shared" si="3"/>
        <v>0</v>
      </c>
      <c r="AG50" s="35"/>
      <c r="AH50" s="24"/>
      <c r="AI50" s="35"/>
      <c r="AJ50" s="24"/>
      <c r="AK50" s="35"/>
      <c r="AL50" s="24"/>
      <c r="AM50" s="35"/>
      <c r="AN50" s="24"/>
      <c r="AO50" s="35"/>
      <c r="AP50" s="35">
        <f t="shared" si="8"/>
        <v>0</v>
      </c>
      <c r="AQ50" s="35"/>
      <c r="AR50" s="35">
        <v>0</v>
      </c>
      <c r="AS50" s="35"/>
      <c r="AT50" s="35">
        <v>0</v>
      </c>
      <c r="AU50" s="35"/>
      <c r="AV50" s="35">
        <f t="shared" si="4"/>
        <v>0</v>
      </c>
      <c r="AW50" s="35"/>
      <c r="AX50" s="23" t="s">
        <v>45</v>
      </c>
      <c r="AY50" s="35"/>
      <c r="AZ50" s="24"/>
      <c r="BA50" s="35"/>
      <c r="BB50" s="24"/>
      <c r="BC50" s="35"/>
      <c r="BD50" s="24"/>
      <c r="BE50" s="35"/>
      <c r="BF50" s="24"/>
      <c r="BG50" s="35"/>
      <c r="BH50" s="35"/>
      <c r="BI50" s="35"/>
      <c r="BJ50" s="17">
        <f t="shared" si="5"/>
        <v>0</v>
      </c>
    </row>
    <row r="51" spans="1:63" s="36" customFormat="1" ht="12">
      <c r="A51" s="23" t="s">
        <v>46</v>
      </c>
      <c r="B51" s="23"/>
      <c r="C51" s="152">
        <f t="shared" si="7"/>
        <v>3732378</v>
      </c>
      <c r="D51" s="152"/>
      <c r="E51" s="24">
        <v>24151294</v>
      </c>
      <c r="F51" s="152"/>
      <c r="G51" s="24">
        <v>27883672</v>
      </c>
      <c r="H51" s="152"/>
      <c r="I51" s="152">
        <f t="shared" si="10"/>
        <v>1029654</v>
      </c>
      <c r="J51" s="152"/>
      <c r="K51" s="24">
        <v>8183410</v>
      </c>
      <c r="L51" s="152"/>
      <c r="M51" s="24">
        <v>9213064</v>
      </c>
      <c r="N51" s="152"/>
      <c r="O51" s="24">
        <v>15283005</v>
      </c>
      <c r="P51" s="152"/>
      <c r="Q51" s="24">
        <v>0</v>
      </c>
      <c r="R51" s="152"/>
      <c r="S51" s="24">
        <v>3387603</v>
      </c>
      <c r="T51" s="152"/>
      <c r="U51" s="152">
        <f t="shared" si="2"/>
        <v>18670608</v>
      </c>
      <c r="V51" s="152">
        <f t="shared" si="11"/>
        <v>0</v>
      </c>
      <c r="W51" s="152"/>
      <c r="X51" s="131" t="s">
        <v>46</v>
      </c>
      <c r="Y51" s="152"/>
      <c r="Z51" s="24">
        <v>4663074</v>
      </c>
      <c r="AA51" s="152"/>
      <c r="AB51" s="24">
        <f>4611958-1287891</f>
        <v>3324067</v>
      </c>
      <c r="AC51" s="152"/>
      <c r="AD51" s="24">
        <v>1287891</v>
      </c>
      <c r="AE51" s="152"/>
      <c r="AF51" s="152">
        <f t="shared" si="3"/>
        <v>51116</v>
      </c>
      <c r="AG51" s="152"/>
      <c r="AH51" s="24">
        <v>-128334</v>
      </c>
      <c r="AI51" s="152"/>
      <c r="AJ51" s="24">
        <v>0</v>
      </c>
      <c r="AK51" s="152"/>
      <c r="AL51" s="24">
        <v>0</v>
      </c>
      <c r="AM51" s="152"/>
      <c r="AN51" s="24">
        <v>39680</v>
      </c>
      <c r="AO51" s="152"/>
      <c r="AP51" s="152">
        <f t="shared" si="8"/>
        <v>-37538</v>
      </c>
      <c r="AQ51" s="152"/>
      <c r="AR51" s="152">
        <v>0</v>
      </c>
      <c r="AS51" s="152"/>
      <c r="AT51" s="152">
        <v>0</v>
      </c>
      <c r="AU51" s="152"/>
      <c r="AV51" s="152">
        <f t="shared" si="4"/>
        <v>2702724</v>
      </c>
      <c r="AW51" s="152"/>
      <c r="AX51" s="131" t="s">
        <v>46</v>
      </c>
      <c r="AY51" s="152"/>
      <c r="AZ51" s="24">
        <v>1496134</v>
      </c>
      <c r="BA51" s="152"/>
      <c r="BB51" s="24">
        <v>0</v>
      </c>
      <c r="BC51" s="152"/>
      <c r="BD51" s="24">
        <f>200693+526429+5915413</f>
        <v>6642535</v>
      </c>
      <c r="BE51" s="152"/>
      <c r="BF51" s="24">
        <v>44741</v>
      </c>
      <c r="BG51" s="152"/>
      <c r="BH51" s="152"/>
      <c r="BI51" s="152"/>
      <c r="BJ51" s="153">
        <f t="shared" si="5"/>
        <v>8183410</v>
      </c>
      <c r="BK51" s="17"/>
    </row>
    <row r="52" spans="1:63" s="36" customFormat="1" ht="12" hidden="1">
      <c r="A52" s="23" t="s">
        <v>47</v>
      </c>
      <c r="B52" s="23"/>
      <c r="C52" s="152">
        <f t="shared" si="7"/>
        <v>0</v>
      </c>
      <c r="D52" s="152"/>
      <c r="E52" s="24"/>
      <c r="F52" s="152"/>
      <c r="G52" s="24"/>
      <c r="H52" s="152"/>
      <c r="I52" s="152">
        <f t="shared" si="10"/>
        <v>0</v>
      </c>
      <c r="J52" s="152"/>
      <c r="K52" s="24"/>
      <c r="L52" s="152"/>
      <c r="M52" s="24"/>
      <c r="N52" s="152"/>
      <c r="O52" s="24"/>
      <c r="P52" s="152"/>
      <c r="Q52" s="24"/>
      <c r="R52" s="152"/>
      <c r="S52" s="24"/>
      <c r="T52" s="152"/>
      <c r="U52" s="152">
        <f t="shared" si="2"/>
        <v>0</v>
      </c>
      <c r="V52" s="152">
        <f t="shared" si="11"/>
        <v>0</v>
      </c>
      <c r="W52" s="152"/>
      <c r="X52" s="131" t="s">
        <v>47</v>
      </c>
      <c r="Y52" s="152"/>
      <c r="Z52" s="24"/>
      <c r="AA52" s="152"/>
      <c r="AB52" s="24"/>
      <c r="AC52" s="152"/>
      <c r="AD52" s="24"/>
      <c r="AE52" s="152"/>
      <c r="AF52" s="152">
        <f t="shared" si="3"/>
        <v>0</v>
      </c>
      <c r="AG52" s="152"/>
      <c r="AH52" s="24"/>
      <c r="AI52" s="152"/>
      <c r="AJ52" s="24"/>
      <c r="AK52" s="152"/>
      <c r="AL52" s="24"/>
      <c r="AM52" s="152"/>
      <c r="AN52" s="24"/>
      <c r="AO52" s="152"/>
      <c r="AP52" s="152">
        <f t="shared" si="8"/>
        <v>0</v>
      </c>
      <c r="AQ52" s="152"/>
      <c r="AR52" s="152">
        <v>0</v>
      </c>
      <c r="AS52" s="152"/>
      <c r="AT52" s="152">
        <v>0</v>
      </c>
      <c r="AU52" s="152"/>
      <c r="AV52" s="152">
        <f t="shared" si="4"/>
        <v>0</v>
      </c>
      <c r="AW52" s="152"/>
      <c r="AX52" s="131" t="s">
        <v>47</v>
      </c>
      <c r="AY52" s="152"/>
      <c r="AZ52" s="24"/>
      <c r="BA52" s="152"/>
      <c r="BB52" s="24"/>
      <c r="BC52" s="152"/>
      <c r="BD52" s="24"/>
      <c r="BE52" s="152"/>
      <c r="BF52" s="24"/>
      <c r="BG52" s="152"/>
      <c r="BH52" s="152"/>
      <c r="BI52" s="152"/>
      <c r="BJ52" s="153">
        <f t="shared" si="5"/>
        <v>0</v>
      </c>
      <c r="BK52" s="17"/>
    </row>
    <row r="53" spans="1:62" s="36" customFormat="1" ht="12" hidden="1">
      <c r="A53" s="23" t="s">
        <v>48</v>
      </c>
      <c r="B53" s="23"/>
      <c r="C53" s="152">
        <f t="shared" si="7"/>
        <v>0</v>
      </c>
      <c r="D53" s="152"/>
      <c r="E53" s="24"/>
      <c r="F53" s="152"/>
      <c r="G53" s="24"/>
      <c r="H53" s="152"/>
      <c r="I53" s="152">
        <f t="shared" si="10"/>
        <v>0</v>
      </c>
      <c r="J53" s="152"/>
      <c r="K53" s="24"/>
      <c r="L53" s="152"/>
      <c r="M53" s="24"/>
      <c r="N53" s="152"/>
      <c r="O53" s="24"/>
      <c r="P53" s="152"/>
      <c r="Q53" s="24"/>
      <c r="R53" s="152"/>
      <c r="S53" s="24"/>
      <c r="T53" s="152"/>
      <c r="U53" s="152">
        <f t="shared" si="2"/>
        <v>0</v>
      </c>
      <c r="V53" s="152">
        <f t="shared" si="11"/>
        <v>0</v>
      </c>
      <c r="W53" s="152"/>
      <c r="X53" s="131" t="s">
        <v>48</v>
      </c>
      <c r="Y53" s="152"/>
      <c r="Z53" s="24"/>
      <c r="AA53" s="152"/>
      <c r="AB53" s="24"/>
      <c r="AC53" s="152"/>
      <c r="AD53" s="24"/>
      <c r="AE53" s="152"/>
      <c r="AF53" s="152">
        <f t="shared" si="3"/>
        <v>0</v>
      </c>
      <c r="AG53" s="152"/>
      <c r="AH53" s="24"/>
      <c r="AI53" s="152"/>
      <c r="AJ53" s="24"/>
      <c r="AK53" s="152"/>
      <c r="AL53" s="24"/>
      <c r="AM53" s="152"/>
      <c r="AN53" s="24"/>
      <c r="AO53" s="152"/>
      <c r="AP53" s="152">
        <f t="shared" si="8"/>
        <v>0</v>
      </c>
      <c r="AQ53" s="152"/>
      <c r="AR53" s="152">
        <v>0</v>
      </c>
      <c r="AS53" s="152"/>
      <c r="AT53" s="152">
        <v>0</v>
      </c>
      <c r="AU53" s="152"/>
      <c r="AV53" s="152">
        <f t="shared" si="4"/>
        <v>0</v>
      </c>
      <c r="AW53" s="152"/>
      <c r="AX53" s="131" t="s">
        <v>48</v>
      </c>
      <c r="AY53" s="152"/>
      <c r="AZ53" s="24"/>
      <c r="BA53" s="152"/>
      <c r="BB53" s="24"/>
      <c r="BC53" s="152"/>
      <c r="BD53" s="24"/>
      <c r="BE53" s="152"/>
      <c r="BF53" s="24"/>
      <c r="BG53" s="152"/>
      <c r="BH53" s="152"/>
      <c r="BI53" s="152"/>
      <c r="BJ53" s="153">
        <f t="shared" si="5"/>
        <v>0</v>
      </c>
    </row>
    <row r="54" spans="1:62" s="36" customFormat="1" ht="12" hidden="1">
      <c r="A54" s="23" t="s">
        <v>169</v>
      </c>
      <c r="B54" s="23"/>
      <c r="C54" s="152">
        <f t="shared" si="7"/>
        <v>0</v>
      </c>
      <c r="D54" s="152"/>
      <c r="E54" s="24"/>
      <c r="F54" s="152"/>
      <c r="G54" s="24"/>
      <c r="H54" s="152"/>
      <c r="I54" s="152">
        <f t="shared" si="10"/>
        <v>0</v>
      </c>
      <c r="J54" s="152"/>
      <c r="K54" s="24"/>
      <c r="L54" s="152"/>
      <c r="M54" s="24"/>
      <c r="N54" s="152"/>
      <c r="O54" s="24"/>
      <c r="P54" s="152"/>
      <c r="Q54" s="24"/>
      <c r="R54" s="152"/>
      <c r="S54" s="24"/>
      <c r="T54" s="152"/>
      <c r="U54" s="152">
        <f t="shared" si="2"/>
        <v>0</v>
      </c>
      <c r="V54" s="152">
        <f t="shared" si="11"/>
        <v>0</v>
      </c>
      <c r="W54" s="152"/>
      <c r="X54" s="131" t="s">
        <v>222</v>
      </c>
      <c r="Y54" s="152"/>
      <c r="Z54" s="24"/>
      <c r="AA54" s="152"/>
      <c r="AB54" s="24"/>
      <c r="AC54" s="152"/>
      <c r="AD54" s="24"/>
      <c r="AE54" s="152"/>
      <c r="AF54" s="152">
        <f t="shared" si="3"/>
        <v>0</v>
      </c>
      <c r="AG54" s="152"/>
      <c r="AH54" s="24"/>
      <c r="AI54" s="152"/>
      <c r="AJ54" s="24"/>
      <c r="AK54" s="152"/>
      <c r="AL54" s="24"/>
      <c r="AM54" s="152"/>
      <c r="AN54" s="24"/>
      <c r="AO54" s="152"/>
      <c r="AP54" s="152">
        <f t="shared" si="8"/>
        <v>0</v>
      </c>
      <c r="AQ54" s="152"/>
      <c r="AR54" s="152">
        <v>0</v>
      </c>
      <c r="AS54" s="152"/>
      <c r="AT54" s="152">
        <v>0</v>
      </c>
      <c r="AU54" s="152"/>
      <c r="AV54" s="152">
        <f t="shared" si="4"/>
        <v>0</v>
      </c>
      <c r="AW54" s="152"/>
      <c r="AX54" s="131" t="s">
        <v>222</v>
      </c>
      <c r="AY54" s="152"/>
      <c r="AZ54" s="24"/>
      <c r="BA54" s="152"/>
      <c r="BB54" s="24"/>
      <c r="BC54" s="152"/>
      <c r="BD54" s="24"/>
      <c r="BE54" s="152"/>
      <c r="BF54" s="24"/>
      <c r="BG54" s="152"/>
      <c r="BH54" s="152"/>
      <c r="BI54" s="152"/>
      <c r="BJ54" s="153">
        <f t="shared" si="5"/>
        <v>0</v>
      </c>
    </row>
    <row r="55" spans="1:62" s="36" customFormat="1" ht="12">
      <c r="A55" s="23" t="s">
        <v>49</v>
      </c>
      <c r="B55" s="23"/>
      <c r="C55" s="152">
        <f t="shared" si="7"/>
        <v>600517</v>
      </c>
      <c r="D55" s="152"/>
      <c r="E55" s="24">
        <v>660861</v>
      </c>
      <c r="F55" s="152"/>
      <c r="G55" s="24">
        <v>1261378</v>
      </c>
      <c r="H55" s="152"/>
      <c r="I55" s="152">
        <f t="shared" si="10"/>
        <v>76592</v>
      </c>
      <c r="J55" s="152"/>
      <c r="K55" s="24">
        <v>60000</v>
      </c>
      <c r="L55" s="152"/>
      <c r="M55" s="24">
        <v>136592</v>
      </c>
      <c r="N55" s="152"/>
      <c r="O55" s="24">
        <v>540861</v>
      </c>
      <c r="P55" s="152"/>
      <c r="Q55" s="24">
        <v>0</v>
      </c>
      <c r="R55" s="152"/>
      <c r="S55" s="24">
        <v>583925</v>
      </c>
      <c r="T55" s="152"/>
      <c r="U55" s="152">
        <f t="shared" si="2"/>
        <v>1124786</v>
      </c>
      <c r="V55" s="152">
        <f t="shared" si="11"/>
        <v>0</v>
      </c>
      <c r="W55" s="152"/>
      <c r="X55" s="131" t="s">
        <v>49</v>
      </c>
      <c r="Y55" s="152"/>
      <c r="Z55" s="24">
        <v>272279</v>
      </c>
      <c r="AA55" s="152"/>
      <c r="AB55" s="24">
        <f>146818-24328</f>
        <v>122490</v>
      </c>
      <c r="AC55" s="152"/>
      <c r="AD55" s="24">
        <v>24328</v>
      </c>
      <c r="AE55" s="152"/>
      <c r="AF55" s="152">
        <f t="shared" si="3"/>
        <v>125461</v>
      </c>
      <c r="AG55" s="152"/>
      <c r="AH55" s="24">
        <v>-7172</v>
      </c>
      <c r="AI55" s="152"/>
      <c r="AJ55" s="24">
        <v>0</v>
      </c>
      <c r="AK55" s="152"/>
      <c r="AL55" s="24">
        <v>42536</v>
      </c>
      <c r="AM55" s="152"/>
      <c r="AN55" s="24">
        <v>0</v>
      </c>
      <c r="AO55" s="152"/>
      <c r="AP55" s="152">
        <f t="shared" si="8"/>
        <v>75753</v>
      </c>
      <c r="AQ55" s="152"/>
      <c r="AR55" s="152">
        <v>0</v>
      </c>
      <c r="AS55" s="152"/>
      <c r="AT55" s="152">
        <v>0</v>
      </c>
      <c r="AU55" s="152"/>
      <c r="AV55" s="152">
        <f t="shared" si="4"/>
        <v>523925</v>
      </c>
      <c r="AW55" s="152"/>
      <c r="AX55" s="131" t="s">
        <v>49</v>
      </c>
      <c r="AY55" s="152"/>
      <c r="AZ55" s="24">
        <v>60000</v>
      </c>
      <c r="BA55" s="152"/>
      <c r="BB55" s="24">
        <v>0</v>
      </c>
      <c r="BC55" s="152"/>
      <c r="BD55" s="24">
        <v>0</v>
      </c>
      <c r="BE55" s="152"/>
      <c r="BF55" s="24">
        <v>0</v>
      </c>
      <c r="BG55" s="152"/>
      <c r="BH55" s="152"/>
      <c r="BI55" s="152"/>
      <c r="BJ55" s="153">
        <f t="shared" si="5"/>
        <v>60000</v>
      </c>
    </row>
    <row r="56" spans="1:62" s="36" customFormat="1" ht="12">
      <c r="A56" s="23" t="s">
        <v>50</v>
      </c>
      <c r="B56" s="23"/>
      <c r="C56" s="152">
        <f t="shared" si="7"/>
        <v>5067593</v>
      </c>
      <c r="D56" s="152"/>
      <c r="E56" s="24">
        <v>27556254</v>
      </c>
      <c r="F56" s="152"/>
      <c r="G56" s="24">
        <v>32623847</v>
      </c>
      <c r="H56" s="152"/>
      <c r="I56" s="152">
        <f t="shared" si="10"/>
        <v>2424889</v>
      </c>
      <c r="J56" s="152"/>
      <c r="K56" s="24">
        <v>14088244</v>
      </c>
      <c r="L56" s="152"/>
      <c r="M56" s="24">
        <v>16513133</v>
      </c>
      <c r="N56" s="152"/>
      <c r="O56" s="24">
        <v>11137546</v>
      </c>
      <c r="P56" s="152"/>
      <c r="Q56" s="24">
        <v>0</v>
      </c>
      <c r="R56" s="152"/>
      <c r="S56" s="24">
        <v>4973168</v>
      </c>
      <c r="T56" s="152"/>
      <c r="U56" s="152">
        <f t="shared" si="2"/>
        <v>16110714</v>
      </c>
      <c r="V56" s="152">
        <f t="shared" si="11"/>
        <v>0</v>
      </c>
      <c r="W56" s="152"/>
      <c r="X56" s="131" t="s">
        <v>50</v>
      </c>
      <c r="Y56" s="152"/>
      <c r="Z56" s="24">
        <v>3599397</v>
      </c>
      <c r="AA56" s="152"/>
      <c r="AB56" s="24">
        <f>2600987-800667</f>
        <v>1800320</v>
      </c>
      <c r="AC56" s="152"/>
      <c r="AD56" s="24">
        <v>800667</v>
      </c>
      <c r="AE56" s="152"/>
      <c r="AF56" s="152">
        <f t="shared" si="3"/>
        <v>998410</v>
      </c>
      <c r="AG56" s="152"/>
      <c r="AH56" s="24">
        <v>-811484</v>
      </c>
      <c r="AI56" s="152"/>
      <c r="AJ56" s="24">
        <v>53158</v>
      </c>
      <c r="AK56" s="152"/>
      <c r="AL56" s="24">
        <v>0</v>
      </c>
      <c r="AM56" s="152"/>
      <c r="AN56" s="24">
        <v>0</v>
      </c>
      <c r="AO56" s="152"/>
      <c r="AP56" s="152">
        <f t="shared" si="8"/>
        <v>240084</v>
      </c>
      <c r="AQ56" s="152"/>
      <c r="AR56" s="152">
        <v>0</v>
      </c>
      <c r="AS56" s="152"/>
      <c r="AT56" s="152">
        <v>0</v>
      </c>
      <c r="AU56" s="152"/>
      <c r="AV56" s="152">
        <f t="shared" si="4"/>
        <v>2642704</v>
      </c>
      <c r="AW56" s="152"/>
      <c r="AX56" s="131" t="s">
        <v>50</v>
      </c>
      <c r="AY56" s="152"/>
      <c r="AZ56" s="24">
        <v>0</v>
      </c>
      <c r="BA56" s="152"/>
      <c r="BB56" s="24">
        <v>13967075</v>
      </c>
      <c r="BC56" s="152"/>
      <c r="BD56" s="24">
        <v>82648</v>
      </c>
      <c r="BE56" s="152"/>
      <c r="BF56" s="24">
        <v>38521</v>
      </c>
      <c r="BG56" s="152"/>
      <c r="BH56" s="152"/>
      <c r="BI56" s="152"/>
      <c r="BJ56" s="153">
        <f t="shared" si="5"/>
        <v>14088244</v>
      </c>
    </row>
    <row r="57" spans="1:62" s="129" customFormat="1" ht="12" hidden="1">
      <c r="A57" s="128" t="s">
        <v>244</v>
      </c>
      <c r="B57" s="128"/>
      <c r="C57" s="152">
        <f t="shared" si="7"/>
        <v>0</v>
      </c>
      <c r="D57" s="152"/>
      <c r="E57" s="24"/>
      <c r="F57" s="152"/>
      <c r="G57" s="24"/>
      <c r="H57" s="154"/>
      <c r="I57" s="154">
        <f t="shared" si="10"/>
        <v>0</v>
      </c>
      <c r="J57" s="154"/>
      <c r="K57" s="24"/>
      <c r="L57" s="154"/>
      <c r="M57" s="24"/>
      <c r="N57" s="152"/>
      <c r="O57" s="24"/>
      <c r="P57" s="152"/>
      <c r="Q57" s="24"/>
      <c r="R57" s="152"/>
      <c r="S57" s="24"/>
      <c r="T57" s="154"/>
      <c r="U57" s="154">
        <f t="shared" si="2"/>
        <v>0</v>
      </c>
      <c r="V57" s="154">
        <f t="shared" si="11"/>
        <v>0</v>
      </c>
      <c r="W57" s="154"/>
      <c r="X57" s="155" t="s">
        <v>51</v>
      </c>
      <c r="Y57" s="154"/>
      <c r="Z57" s="24"/>
      <c r="AA57" s="152"/>
      <c r="AB57" s="24"/>
      <c r="AC57" s="152"/>
      <c r="AD57" s="24"/>
      <c r="AE57" s="154"/>
      <c r="AF57" s="154">
        <f t="shared" si="3"/>
        <v>0</v>
      </c>
      <c r="AG57" s="154"/>
      <c r="AH57" s="24"/>
      <c r="AI57" s="152"/>
      <c r="AJ57" s="24"/>
      <c r="AK57" s="152"/>
      <c r="AL57" s="24"/>
      <c r="AM57" s="152"/>
      <c r="AN57" s="24"/>
      <c r="AO57" s="152"/>
      <c r="AP57" s="152">
        <f t="shared" si="8"/>
        <v>0</v>
      </c>
      <c r="AQ57" s="154"/>
      <c r="AR57" s="154">
        <v>0</v>
      </c>
      <c r="AS57" s="154"/>
      <c r="AT57" s="154">
        <v>0</v>
      </c>
      <c r="AU57" s="154"/>
      <c r="AV57" s="154">
        <f t="shared" si="4"/>
        <v>0</v>
      </c>
      <c r="AW57" s="154"/>
      <c r="AX57" s="155" t="s">
        <v>51</v>
      </c>
      <c r="AY57" s="154"/>
      <c r="AZ57" s="24"/>
      <c r="BA57" s="152"/>
      <c r="BB57" s="24"/>
      <c r="BC57" s="152"/>
      <c r="BD57" s="24"/>
      <c r="BE57" s="152"/>
      <c r="BF57" s="24"/>
      <c r="BG57" s="154"/>
      <c r="BH57" s="154"/>
      <c r="BI57" s="154"/>
      <c r="BJ57" s="156">
        <f t="shared" si="5"/>
        <v>0</v>
      </c>
    </row>
    <row r="58" spans="1:62" s="36" customFormat="1" ht="12">
      <c r="A58" s="23" t="s">
        <v>182</v>
      </c>
      <c r="B58" s="23"/>
      <c r="C58" s="152">
        <f t="shared" si="7"/>
        <v>1623153</v>
      </c>
      <c r="D58" s="152"/>
      <c r="E58" s="24">
        <v>41982401</v>
      </c>
      <c r="F58" s="152"/>
      <c r="G58" s="24">
        <v>43605554</v>
      </c>
      <c r="H58" s="152"/>
      <c r="I58" s="152">
        <f>+M58-K58</f>
        <v>1336956</v>
      </c>
      <c r="J58" s="152"/>
      <c r="K58" s="24">
        <v>3404333</v>
      </c>
      <c r="L58" s="152"/>
      <c r="M58" s="24">
        <v>4741289</v>
      </c>
      <c r="N58" s="152"/>
      <c r="O58" s="24">
        <v>37342557</v>
      </c>
      <c r="P58" s="152"/>
      <c r="Q58" s="24">
        <v>0</v>
      </c>
      <c r="R58" s="152"/>
      <c r="S58" s="24">
        <v>1521708</v>
      </c>
      <c r="T58" s="152"/>
      <c r="U58" s="152">
        <f t="shared" si="2"/>
        <v>38864265</v>
      </c>
      <c r="V58" s="152">
        <f t="shared" si="11"/>
        <v>0</v>
      </c>
      <c r="W58" s="152"/>
      <c r="X58" s="131" t="s">
        <v>182</v>
      </c>
      <c r="Y58" s="152"/>
      <c r="Z58" s="24">
        <v>1671927</v>
      </c>
      <c r="AA58" s="152"/>
      <c r="AB58" s="24">
        <f>2957574-1852630</f>
        <v>1104944</v>
      </c>
      <c r="AC58" s="152"/>
      <c r="AD58" s="24">
        <v>1852630</v>
      </c>
      <c r="AE58" s="152"/>
      <c r="AF58" s="152">
        <f t="shared" si="3"/>
        <v>-1285647</v>
      </c>
      <c r="AG58" s="152"/>
      <c r="AH58" s="24">
        <v>753497</v>
      </c>
      <c r="AI58" s="152"/>
      <c r="AJ58" s="24">
        <v>0</v>
      </c>
      <c r="AK58" s="152"/>
      <c r="AL58" s="24">
        <v>0</v>
      </c>
      <c r="AM58" s="152"/>
      <c r="AN58" s="24">
        <v>236868</v>
      </c>
      <c r="AO58" s="152"/>
      <c r="AP58" s="152">
        <f t="shared" si="8"/>
        <v>-295282</v>
      </c>
      <c r="AQ58" s="152"/>
      <c r="AR58" s="152">
        <v>0</v>
      </c>
      <c r="AS58" s="152"/>
      <c r="AT58" s="152">
        <v>0</v>
      </c>
      <c r="AU58" s="152"/>
      <c r="AV58" s="152">
        <f t="shared" si="4"/>
        <v>286197</v>
      </c>
      <c r="AW58" s="152"/>
      <c r="AX58" s="131" t="s">
        <v>182</v>
      </c>
      <c r="AY58" s="152"/>
      <c r="AZ58" s="24">
        <v>0</v>
      </c>
      <c r="BA58" s="152"/>
      <c r="BB58" s="24">
        <v>0</v>
      </c>
      <c r="BC58" s="152"/>
      <c r="BD58" s="24">
        <f>3284595+119738</f>
        <v>3404333</v>
      </c>
      <c r="BE58" s="152"/>
      <c r="BF58" s="24">
        <v>0</v>
      </c>
      <c r="BG58" s="152"/>
      <c r="BH58" s="152"/>
      <c r="BI58" s="152"/>
      <c r="BJ58" s="153">
        <f t="shared" si="5"/>
        <v>3404333</v>
      </c>
    </row>
    <row r="59" spans="1:62" s="36" customFormat="1" ht="12" hidden="1">
      <c r="A59" s="23" t="s">
        <v>52</v>
      </c>
      <c r="B59" s="23"/>
      <c r="C59" s="152">
        <f t="shared" si="7"/>
        <v>0</v>
      </c>
      <c r="D59" s="152"/>
      <c r="E59" s="24"/>
      <c r="F59" s="152"/>
      <c r="G59" s="24"/>
      <c r="H59" s="152"/>
      <c r="I59" s="152">
        <f t="shared" si="10"/>
        <v>0</v>
      </c>
      <c r="J59" s="152"/>
      <c r="K59" s="24"/>
      <c r="L59" s="152"/>
      <c r="M59" s="24"/>
      <c r="N59" s="152"/>
      <c r="O59" s="24"/>
      <c r="P59" s="152"/>
      <c r="Q59" s="24"/>
      <c r="R59" s="152"/>
      <c r="S59" s="24"/>
      <c r="T59" s="152"/>
      <c r="U59" s="152">
        <f t="shared" si="2"/>
        <v>0</v>
      </c>
      <c r="V59" s="152">
        <f t="shared" si="11"/>
        <v>0</v>
      </c>
      <c r="W59" s="152"/>
      <c r="X59" s="131" t="s">
        <v>52</v>
      </c>
      <c r="Y59" s="152"/>
      <c r="Z59" s="24"/>
      <c r="AA59" s="152"/>
      <c r="AB59" s="24"/>
      <c r="AC59" s="152"/>
      <c r="AD59" s="24"/>
      <c r="AE59" s="152"/>
      <c r="AF59" s="152">
        <f t="shared" si="3"/>
        <v>0</v>
      </c>
      <c r="AG59" s="152"/>
      <c r="AH59" s="24"/>
      <c r="AI59" s="152"/>
      <c r="AJ59" s="24"/>
      <c r="AK59" s="152"/>
      <c r="AL59" s="24"/>
      <c r="AM59" s="152"/>
      <c r="AN59" s="24"/>
      <c r="AO59" s="152"/>
      <c r="AP59" s="152">
        <f t="shared" si="8"/>
        <v>0</v>
      </c>
      <c r="AQ59" s="152"/>
      <c r="AR59" s="152">
        <v>0</v>
      </c>
      <c r="AS59" s="152"/>
      <c r="AT59" s="152">
        <v>0</v>
      </c>
      <c r="AU59" s="152"/>
      <c r="AV59" s="152">
        <f t="shared" si="4"/>
        <v>0</v>
      </c>
      <c r="AW59" s="152"/>
      <c r="AX59" s="131" t="s">
        <v>52</v>
      </c>
      <c r="AY59" s="152"/>
      <c r="AZ59" s="24"/>
      <c r="BA59" s="152"/>
      <c r="BB59" s="24"/>
      <c r="BC59" s="152"/>
      <c r="BD59" s="24"/>
      <c r="BE59" s="152"/>
      <c r="BF59" s="24"/>
      <c r="BG59" s="152"/>
      <c r="BH59" s="152"/>
      <c r="BI59" s="152"/>
      <c r="BJ59" s="153">
        <f t="shared" si="5"/>
        <v>0</v>
      </c>
    </row>
    <row r="60" spans="1:62" s="36" customFormat="1" ht="12">
      <c r="A60" s="23" t="s">
        <v>53</v>
      </c>
      <c r="B60" s="23"/>
      <c r="C60" s="152">
        <f t="shared" si="7"/>
        <v>1502548</v>
      </c>
      <c r="D60" s="152"/>
      <c r="E60" s="24">
        <v>11919543</v>
      </c>
      <c r="F60" s="152"/>
      <c r="G60" s="24">
        <v>13422091</v>
      </c>
      <c r="H60" s="152"/>
      <c r="I60" s="152">
        <f t="shared" si="10"/>
        <v>642637</v>
      </c>
      <c r="J60" s="152"/>
      <c r="K60" s="24">
        <v>5067028</v>
      </c>
      <c r="L60" s="152"/>
      <c r="M60" s="24">
        <v>5709665</v>
      </c>
      <c r="N60" s="152"/>
      <c r="O60" s="24">
        <v>6293363</v>
      </c>
      <c r="P60" s="152"/>
      <c r="Q60" s="24">
        <v>0</v>
      </c>
      <c r="R60" s="152"/>
      <c r="S60" s="24">
        <v>1419063</v>
      </c>
      <c r="T60" s="152"/>
      <c r="U60" s="152">
        <f t="shared" si="2"/>
        <v>7712426</v>
      </c>
      <c r="V60" s="152">
        <f t="shared" si="11"/>
        <v>0</v>
      </c>
      <c r="W60" s="152"/>
      <c r="X60" s="131" t="s">
        <v>53</v>
      </c>
      <c r="Y60" s="152"/>
      <c r="Z60" s="24">
        <v>402207</v>
      </c>
      <c r="AA60" s="152"/>
      <c r="AB60" s="24">
        <f>989117-393804</f>
        <v>595313</v>
      </c>
      <c r="AC60" s="152"/>
      <c r="AD60" s="24">
        <v>393804</v>
      </c>
      <c r="AE60" s="152"/>
      <c r="AF60" s="152">
        <f t="shared" si="3"/>
        <v>-586910</v>
      </c>
      <c r="AG60" s="152"/>
      <c r="AH60" s="24">
        <v>-185304</v>
      </c>
      <c r="AI60" s="152"/>
      <c r="AJ60" s="24">
        <v>551930</v>
      </c>
      <c r="AK60" s="152"/>
      <c r="AL60" s="24">
        <v>0</v>
      </c>
      <c r="AM60" s="152"/>
      <c r="AN60" s="24">
        <v>55133</v>
      </c>
      <c r="AO60" s="152"/>
      <c r="AP60" s="152">
        <f t="shared" si="8"/>
        <v>-165151</v>
      </c>
      <c r="AQ60" s="152"/>
      <c r="AR60" s="152">
        <v>0</v>
      </c>
      <c r="AS60" s="152"/>
      <c r="AT60" s="152">
        <v>0</v>
      </c>
      <c r="AU60" s="152"/>
      <c r="AV60" s="152">
        <f t="shared" si="4"/>
        <v>859911</v>
      </c>
      <c r="AW60" s="152"/>
      <c r="AX60" s="131" t="s">
        <v>53</v>
      </c>
      <c r="AY60" s="152"/>
      <c r="AZ60" s="24">
        <v>1317776</v>
      </c>
      <c r="BA60" s="152"/>
      <c r="BB60" s="24">
        <v>3145000</v>
      </c>
      <c r="BC60" s="152"/>
      <c r="BD60" s="24">
        <f>190531+413721</f>
        <v>604252</v>
      </c>
      <c r="BE60" s="152"/>
      <c r="BF60" s="24">
        <v>0</v>
      </c>
      <c r="BG60" s="152"/>
      <c r="BH60" s="152"/>
      <c r="BI60" s="152"/>
      <c r="BJ60" s="153">
        <f t="shared" si="5"/>
        <v>5067028</v>
      </c>
    </row>
    <row r="61" spans="1:256" s="36" customFormat="1" ht="12" hidden="1">
      <c r="A61" s="75" t="s">
        <v>54</v>
      </c>
      <c r="B61" s="75"/>
      <c r="C61" s="152">
        <f t="shared" si="7"/>
        <v>0</v>
      </c>
      <c r="D61" s="152"/>
      <c r="E61" s="24"/>
      <c r="F61" s="152"/>
      <c r="G61" s="24"/>
      <c r="H61" s="152"/>
      <c r="I61" s="152">
        <f t="shared" si="10"/>
        <v>0</v>
      </c>
      <c r="J61" s="152"/>
      <c r="K61" s="24"/>
      <c r="L61" s="152"/>
      <c r="M61" s="24"/>
      <c r="N61" s="152"/>
      <c r="O61" s="24"/>
      <c r="P61" s="152"/>
      <c r="Q61" s="24"/>
      <c r="R61" s="152"/>
      <c r="S61" s="24"/>
      <c r="T61" s="152"/>
      <c r="U61" s="152">
        <f t="shared" si="2"/>
        <v>0</v>
      </c>
      <c r="V61" s="152">
        <f t="shared" si="11"/>
        <v>0</v>
      </c>
      <c r="W61" s="152"/>
      <c r="X61" s="157" t="s">
        <v>54</v>
      </c>
      <c r="Y61" s="152"/>
      <c r="Z61" s="24"/>
      <c r="AA61" s="152"/>
      <c r="AB61" s="24"/>
      <c r="AC61" s="152"/>
      <c r="AD61" s="24"/>
      <c r="AE61" s="152"/>
      <c r="AF61" s="152">
        <f t="shared" si="3"/>
        <v>0</v>
      </c>
      <c r="AG61" s="152"/>
      <c r="AH61" s="24"/>
      <c r="AI61" s="152"/>
      <c r="AJ61" s="24"/>
      <c r="AK61" s="152"/>
      <c r="AL61" s="24"/>
      <c r="AM61" s="152"/>
      <c r="AN61" s="24"/>
      <c r="AO61" s="152"/>
      <c r="AP61" s="152">
        <f t="shared" si="8"/>
        <v>0</v>
      </c>
      <c r="AQ61" s="152"/>
      <c r="AR61" s="152">
        <v>0</v>
      </c>
      <c r="AS61" s="152"/>
      <c r="AT61" s="152">
        <v>0</v>
      </c>
      <c r="AU61" s="152"/>
      <c r="AV61" s="152">
        <f t="shared" si="4"/>
        <v>0</v>
      </c>
      <c r="AW61" s="152"/>
      <c r="AX61" s="157" t="s">
        <v>54</v>
      </c>
      <c r="AY61" s="152"/>
      <c r="AZ61" s="24"/>
      <c r="BA61" s="152"/>
      <c r="BB61" s="24"/>
      <c r="BC61" s="152"/>
      <c r="BD61" s="24"/>
      <c r="BE61" s="152"/>
      <c r="BF61" s="24"/>
      <c r="BG61" s="152"/>
      <c r="BH61" s="152"/>
      <c r="BI61" s="152"/>
      <c r="BJ61" s="153">
        <f t="shared" si="5"/>
        <v>0</v>
      </c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</row>
    <row r="62" spans="1:62" s="36" customFormat="1" ht="12">
      <c r="A62" s="23" t="s">
        <v>55</v>
      </c>
      <c r="B62" s="23"/>
      <c r="C62" s="152">
        <f t="shared" si="7"/>
        <v>1593039</v>
      </c>
      <c r="D62" s="152"/>
      <c r="E62" s="24">
        <v>103879894</v>
      </c>
      <c r="F62" s="152"/>
      <c r="G62" s="24">
        <v>105472933</v>
      </c>
      <c r="H62" s="152"/>
      <c r="I62" s="152">
        <f t="shared" si="10"/>
        <v>4027081</v>
      </c>
      <c r="J62" s="152"/>
      <c r="K62" s="24">
        <v>42405638</v>
      </c>
      <c r="L62" s="152"/>
      <c r="M62" s="24">
        <v>46432719</v>
      </c>
      <c r="N62" s="152"/>
      <c r="O62" s="24">
        <v>58754794</v>
      </c>
      <c r="P62" s="152"/>
      <c r="Q62" s="24">
        <v>0</v>
      </c>
      <c r="R62" s="152"/>
      <c r="S62" s="24">
        <v>285420</v>
      </c>
      <c r="T62" s="152"/>
      <c r="U62" s="152">
        <f t="shared" si="2"/>
        <v>59040214</v>
      </c>
      <c r="V62" s="152">
        <f t="shared" si="11"/>
        <v>0</v>
      </c>
      <c r="W62" s="152"/>
      <c r="X62" s="131" t="s">
        <v>55</v>
      </c>
      <c r="Y62" s="152"/>
      <c r="Z62" s="24">
        <v>7363731</v>
      </c>
      <c r="AA62" s="152"/>
      <c r="AB62" s="24">
        <f>6543095-2535127</f>
        <v>4007968</v>
      </c>
      <c r="AC62" s="152"/>
      <c r="AD62" s="24">
        <v>2535127</v>
      </c>
      <c r="AE62" s="152"/>
      <c r="AF62" s="152">
        <f t="shared" si="3"/>
        <v>820636</v>
      </c>
      <c r="AG62" s="152"/>
      <c r="AH62" s="24">
        <v>-2028412</v>
      </c>
      <c r="AI62" s="152"/>
      <c r="AJ62" s="24">
        <v>0</v>
      </c>
      <c r="AK62" s="152"/>
      <c r="AL62" s="24">
        <v>0</v>
      </c>
      <c r="AM62" s="152"/>
      <c r="AN62" s="24">
        <v>916923</v>
      </c>
      <c r="AO62" s="152"/>
      <c r="AP62" s="152">
        <f t="shared" si="8"/>
        <v>-290853</v>
      </c>
      <c r="AQ62" s="152"/>
      <c r="AR62" s="152">
        <v>0</v>
      </c>
      <c r="AS62" s="152"/>
      <c r="AT62" s="152">
        <v>0</v>
      </c>
      <c r="AU62" s="152"/>
      <c r="AV62" s="152">
        <f t="shared" si="4"/>
        <v>-2434042</v>
      </c>
      <c r="AW62" s="152"/>
      <c r="AX62" s="131" t="s">
        <v>55</v>
      </c>
      <c r="AY62" s="152"/>
      <c r="AZ62" s="24">
        <v>39970</v>
      </c>
      <c r="BA62" s="152"/>
      <c r="BB62" s="24">
        <v>0</v>
      </c>
      <c r="BC62" s="152"/>
      <c r="BD62" s="24">
        <f>42134338+151150</f>
        <v>42285488</v>
      </c>
      <c r="BE62" s="152"/>
      <c r="BF62" s="24">
        <v>80180</v>
      </c>
      <c r="BG62" s="152"/>
      <c r="BH62" s="152"/>
      <c r="BI62" s="152"/>
      <c r="BJ62" s="153">
        <f t="shared" si="5"/>
        <v>42405638</v>
      </c>
    </row>
    <row r="63" spans="1:62" s="36" customFormat="1" ht="12" hidden="1">
      <c r="A63" s="23" t="s">
        <v>170</v>
      </c>
      <c r="B63" s="23"/>
      <c r="C63" s="152">
        <f t="shared" si="7"/>
        <v>0</v>
      </c>
      <c r="D63" s="152"/>
      <c r="E63" s="24"/>
      <c r="F63" s="152"/>
      <c r="G63" s="24"/>
      <c r="H63" s="152"/>
      <c r="I63" s="152">
        <f t="shared" si="10"/>
        <v>0</v>
      </c>
      <c r="J63" s="152"/>
      <c r="K63" s="24"/>
      <c r="L63" s="152"/>
      <c r="M63" s="24"/>
      <c r="N63" s="152"/>
      <c r="O63" s="24"/>
      <c r="P63" s="152"/>
      <c r="Q63" s="24"/>
      <c r="R63" s="152"/>
      <c r="S63" s="24"/>
      <c r="T63" s="152"/>
      <c r="U63" s="152">
        <f t="shared" si="2"/>
        <v>0</v>
      </c>
      <c r="V63" s="152">
        <f t="shared" si="11"/>
        <v>0</v>
      </c>
      <c r="W63" s="152"/>
      <c r="X63" s="131" t="s">
        <v>170</v>
      </c>
      <c r="Y63" s="152"/>
      <c r="Z63" s="24"/>
      <c r="AA63" s="152"/>
      <c r="AB63" s="24"/>
      <c r="AC63" s="152"/>
      <c r="AD63" s="24"/>
      <c r="AE63" s="152"/>
      <c r="AF63" s="152">
        <f t="shared" si="3"/>
        <v>0</v>
      </c>
      <c r="AG63" s="152"/>
      <c r="AH63" s="24"/>
      <c r="AI63" s="152"/>
      <c r="AJ63" s="24"/>
      <c r="AK63" s="152"/>
      <c r="AL63" s="24"/>
      <c r="AM63" s="152"/>
      <c r="AN63" s="24"/>
      <c r="AO63" s="152"/>
      <c r="AP63" s="152">
        <f t="shared" si="8"/>
        <v>0</v>
      </c>
      <c r="AQ63" s="152"/>
      <c r="AR63" s="152">
        <v>0</v>
      </c>
      <c r="AS63" s="152"/>
      <c r="AT63" s="152">
        <v>0</v>
      </c>
      <c r="AU63" s="152"/>
      <c r="AV63" s="152">
        <f t="shared" si="4"/>
        <v>0</v>
      </c>
      <c r="AW63" s="152"/>
      <c r="AX63" s="131" t="s">
        <v>170</v>
      </c>
      <c r="AY63" s="152"/>
      <c r="AZ63" s="24"/>
      <c r="BA63" s="152"/>
      <c r="BB63" s="24"/>
      <c r="BC63" s="152"/>
      <c r="BD63" s="24"/>
      <c r="BE63" s="152"/>
      <c r="BF63" s="24"/>
      <c r="BG63" s="152"/>
      <c r="BH63" s="152"/>
      <c r="BI63" s="152"/>
      <c r="BJ63" s="153">
        <f t="shared" si="5"/>
        <v>0</v>
      </c>
    </row>
    <row r="64" spans="1:62" s="36" customFormat="1" ht="12" hidden="1">
      <c r="A64" s="23" t="s">
        <v>56</v>
      </c>
      <c r="B64" s="23"/>
      <c r="C64" s="152">
        <f t="shared" si="7"/>
        <v>0</v>
      </c>
      <c r="D64" s="152"/>
      <c r="E64" s="24"/>
      <c r="F64" s="152"/>
      <c r="G64" s="24"/>
      <c r="H64" s="152"/>
      <c r="I64" s="152">
        <f t="shared" si="10"/>
        <v>0</v>
      </c>
      <c r="J64" s="152"/>
      <c r="K64" s="24"/>
      <c r="L64" s="152"/>
      <c r="M64" s="24"/>
      <c r="N64" s="152"/>
      <c r="O64" s="24"/>
      <c r="P64" s="152"/>
      <c r="Q64" s="24"/>
      <c r="R64" s="152"/>
      <c r="S64" s="24"/>
      <c r="T64" s="152"/>
      <c r="U64" s="152">
        <f t="shared" si="2"/>
        <v>0</v>
      </c>
      <c r="V64" s="152">
        <f t="shared" si="11"/>
        <v>0</v>
      </c>
      <c r="W64" s="152"/>
      <c r="X64" s="131" t="s">
        <v>56</v>
      </c>
      <c r="Y64" s="152"/>
      <c r="Z64" s="24"/>
      <c r="AA64" s="152"/>
      <c r="AB64" s="24"/>
      <c r="AC64" s="152"/>
      <c r="AD64" s="24"/>
      <c r="AE64" s="152"/>
      <c r="AF64" s="152">
        <f t="shared" si="3"/>
        <v>0</v>
      </c>
      <c r="AG64" s="152"/>
      <c r="AH64" s="24"/>
      <c r="AI64" s="152"/>
      <c r="AJ64" s="24"/>
      <c r="AK64" s="152"/>
      <c r="AL64" s="24"/>
      <c r="AM64" s="152"/>
      <c r="AN64" s="24"/>
      <c r="AO64" s="152"/>
      <c r="AP64" s="152">
        <f t="shared" si="8"/>
        <v>0</v>
      </c>
      <c r="AQ64" s="152"/>
      <c r="AR64" s="152">
        <v>0</v>
      </c>
      <c r="AS64" s="152"/>
      <c r="AT64" s="152">
        <v>0</v>
      </c>
      <c r="AU64" s="152"/>
      <c r="AV64" s="152">
        <f t="shared" si="4"/>
        <v>0</v>
      </c>
      <c r="AW64" s="152"/>
      <c r="AX64" s="131" t="s">
        <v>56</v>
      </c>
      <c r="AY64" s="152"/>
      <c r="AZ64" s="24"/>
      <c r="BA64" s="152"/>
      <c r="BB64" s="24"/>
      <c r="BC64" s="152"/>
      <c r="BD64" s="24"/>
      <c r="BE64" s="152"/>
      <c r="BF64" s="24"/>
      <c r="BG64" s="152"/>
      <c r="BH64" s="152"/>
      <c r="BI64" s="152"/>
      <c r="BJ64" s="153">
        <f t="shared" si="5"/>
        <v>0</v>
      </c>
    </row>
    <row r="65" spans="1:62" s="36" customFormat="1" ht="12">
      <c r="A65" s="23" t="s">
        <v>57</v>
      </c>
      <c r="B65" s="23"/>
      <c r="C65" s="152">
        <f t="shared" si="7"/>
        <v>670465</v>
      </c>
      <c r="D65" s="152"/>
      <c r="E65" s="24">
        <v>4918169</v>
      </c>
      <c r="F65" s="152"/>
      <c r="G65" s="24">
        <v>5588634</v>
      </c>
      <c r="H65" s="152"/>
      <c r="I65" s="152">
        <f t="shared" si="10"/>
        <v>769332</v>
      </c>
      <c r="J65" s="152"/>
      <c r="K65" s="24">
        <v>2836052</v>
      </c>
      <c r="L65" s="152"/>
      <c r="M65" s="24">
        <v>3605384</v>
      </c>
      <c r="N65" s="152"/>
      <c r="O65" s="24">
        <v>1908397</v>
      </c>
      <c r="P65" s="152"/>
      <c r="Q65" s="24">
        <v>0</v>
      </c>
      <c r="R65" s="152"/>
      <c r="S65" s="24">
        <v>74853</v>
      </c>
      <c r="T65" s="152"/>
      <c r="U65" s="152">
        <f t="shared" si="2"/>
        <v>1983250</v>
      </c>
      <c r="V65" s="152">
        <f>G65-M65-U65</f>
        <v>0</v>
      </c>
      <c r="W65" s="152"/>
      <c r="X65" s="131" t="s">
        <v>57</v>
      </c>
      <c r="Y65" s="152"/>
      <c r="Z65" s="24">
        <v>1635328</v>
      </c>
      <c r="AA65" s="152"/>
      <c r="AB65" s="24">
        <f>1585165-187397</f>
        <v>1397768</v>
      </c>
      <c r="AC65" s="152"/>
      <c r="AD65" s="24">
        <v>187397</v>
      </c>
      <c r="AE65" s="152"/>
      <c r="AF65" s="152">
        <f t="shared" si="3"/>
        <v>50163</v>
      </c>
      <c r="AG65" s="152"/>
      <c r="AH65" s="24">
        <v>-25119</v>
      </c>
      <c r="AI65" s="152"/>
      <c r="AJ65" s="24">
        <v>0</v>
      </c>
      <c r="AK65" s="152"/>
      <c r="AL65" s="24">
        <v>0</v>
      </c>
      <c r="AM65" s="152"/>
      <c r="AN65" s="24">
        <v>105286</v>
      </c>
      <c r="AO65" s="152"/>
      <c r="AP65" s="152">
        <f t="shared" si="8"/>
        <v>130330</v>
      </c>
      <c r="AQ65" s="152"/>
      <c r="AR65" s="152">
        <v>0</v>
      </c>
      <c r="AS65" s="152"/>
      <c r="AT65" s="152">
        <v>0</v>
      </c>
      <c r="AU65" s="152"/>
      <c r="AV65" s="152">
        <f t="shared" si="4"/>
        <v>-98867</v>
      </c>
      <c r="AW65" s="152"/>
      <c r="AX65" s="131" t="s">
        <v>57</v>
      </c>
      <c r="AY65" s="152"/>
      <c r="AZ65" s="24">
        <v>2255865</v>
      </c>
      <c r="BA65" s="152"/>
      <c r="BB65" s="24">
        <v>0</v>
      </c>
      <c r="BC65" s="152"/>
      <c r="BD65" s="24">
        <f>206922+355000</f>
        <v>561922</v>
      </c>
      <c r="BE65" s="152"/>
      <c r="BF65" s="24">
        <v>18265</v>
      </c>
      <c r="BG65" s="152"/>
      <c r="BH65" s="152"/>
      <c r="BI65" s="152"/>
      <c r="BJ65" s="153">
        <f t="shared" si="5"/>
        <v>2836052</v>
      </c>
    </row>
    <row r="66" spans="1:62" s="36" customFormat="1" ht="12" hidden="1">
      <c r="A66" s="23" t="s">
        <v>58</v>
      </c>
      <c r="B66" s="23"/>
      <c r="C66" s="35">
        <f t="shared" si="7"/>
        <v>0</v>
      </c>
      <c r="D66" s="35"/>
      <c r="E66" s="24"/>
      <c r="F66" s="35"/>
      <c r="G66" s="24"/>
      <c r="H66" s="35"/>
      <c r="I66" s="35">
        <f t="shared" si="10"/>
        <v>0</v>
      </c>
      <c r="J66" s="35"/>
      <c r="K66" s="24"/>
      <c r="L66" s="35"/>
      <c r="M66" s="24"/>
      <c r="N66" s="35"/>
      <c r="O66" s="24"/>
      <c r="P66" s="35"/>
      <c r="Q66" s="24"/>
      <c r="R66" s="35"/>
      <c r="S66" s="24"/>
      <c r="T66" s="35"/>
      <c r="U66" s="35">
        <f t="shared" si="2"/>
        <v>0</v>
      </c>
      <c r="V66" s="35">
        <f t="shared" si="11"/>
        <v>0</v>
      </c>
      <c r="W66" s="35"/>
      <c r="X66" s="23" t="s">
        <v>58</v>
      </c>
      <c r="Y66" s="35"/>
      <c r="Z66" s="24"/>
      <c r="AA66" s="35"/>
      <c r="AB66" s="24"/>
      <c r="AC66" s="35"/>
      <c r="AD66" s="24"/>
      <c r="AE66" s="35"/>
      <c r="AF66" s="35">
        <f t="shared" si="3"/>
        <v>0</v>
      </c>
      <c r="AG66" s="35"/>
      <c r="AH66" s="24"/>
      <c r="AI66" s="35"/>
      <c r="AJ66" s="24"/>
      <c r="AK66" s="35"/>
      <c r="AL66" s="24"/>
      <c r="AM66" s="35"/>
      <c r="AN66" s="24"/>
      <c r="AO66" s="35"/>
      <c r="AP66" s="35">
        <f t="shared" si="8"/>
        <v>0</v>
      </c>
      <c r="AQ66" s="35"/>
      <c r="AR66" s="35">
        <v>0</v>
      </c>
      <c r="AS66" s="35"/>
      <c r="AT66" s="35">
        <v>0</v>
      </c>
      <c r="AU66" s="35"/>
      <c r="AV66" s="35">
        <f t="shared" si="4"/>
        <v>0</v>
      </c>
      <c r="AW66" s="35"/>
      <c r="AX66" s="23" t="s">
        <v>58</v>
      </c>
      <c r="AY66" s="35"/>
      <c r="AZ66" s="24"/>
      <c r="BA66" s="35"/>
      <c r="BB66" s="24"/>
      <c r="BC66" s="35"/>
      <c r="BD66" s="24"/>
      <c r="BE66" s="35"/>
      <c r="BF66" s="24"/>
      <c r="BG66" s="35"/>
      <c r="BH66" s="35"/>
      <c r="BI66" s="35"/>
      <c r="BJ66" s="17">
        <f t="shared" si="5"/>
        <v>0</v>
      </c>
    </row>
    <row r="67" spans="1:63" s="36" customFormat="1" ht="12">
      <c r="A67" s="23" t="s">
        <v>59</v>
      </c>
      <c r="B67" s="23"/>
      <c r="C67" s="35">
        <f t="shared" si="7"/>
        <v>52238509</v>
      </c>
      <c r="D67" s="35"/>
      <c r="E67" s="24">
        <v>112151208</v>
      </c>
      <c r="F67" s="35"/>
      <c r="G67" s="24">
        <v>164389717</v>
      </c>
      <c r="H67" s="35"/>
      <c r="I67" s="35">
        <f t="shared" si="10"/>
        <v>6885640</v>
      </c>
      <c r="J67" s="35"/>
      <c r="K67" s="24">
        <v>27180525</v>
      </c>
      <c r="L67" s="35"/>
      <c r="M67" s="24">
        <v>34066165</v>
      </c>
      <c r="N67" s="35"/>
      <c r="O67" s="24">
        <v>81173579</v>
      </c>
      <c r="P67" s="35"/>
      <c r="Q67" s="24">
        <f>3257445+4161704</f>
        <v>7419149</v>
      </c>
      <c r="R67" s="35"/>
      <c r="S67" s="24">
        <v>41730824</v>
      </c>
      <c r="T67" s="35"/>
      <c r="U67" s="35">
        <f t="shared" si="2"/>
        <v>130323552</v>
      </c>
      <c r="V67" s="35">
        <f t="shared" si="11"/>
        <v>0</v>
      </c>
      <c r="W67" s="35"/>
      <c r="X67" s="23" t="s">
        <v>59</v>
      </c>
      <c r="Y67" s="35"/>
      <c r="Z67" s="24">
        <v>33479482</v>
      </c>
      <c r="AA67" s="35"/>
      <c r="AB67" s="24">
        <f>32560726-4520788</f>
        <v>28039938</v>
      </c>
      <c r="AC67" s="35"/>
      <c r="AD67" s="24">
        <v>4520788</v>
      </c>
      <c r="AE67" s="35"/>
      <c r="AF67" s="35">
        <f t="shared" si="3"/>
        <v>918756</v>
      </c>
      <c r="AG67" s="35"/>
      <c r="AH67" s="24">
        <v>-1458366</v>
      </c>
      <c r="AI67" s="35"/>
      <c r="AJ67" s="24">
        <v>0</v>
      </c>
      <c r="AK67" s="35"/>
      <c r="AL67" s="24">
        <v>12501</v>
      </c>
      <c r="AM67" s="35"/>
      <c r="AN67" s="24">
        <v>326536</v>
      </c>
      <c r="AO67" s="35"/>
      <c r="AP67" s="35">
        <f t="shared" si="8"/>
        <v>-225575</v>
      </c>
      <c r="AQ67" s="35"/>
      <c r="AR67" s="35">
        <v>0</v>
      </c>
      <c r="AS67" s="35"/>
      <c r="AT67" s="35">
        <v>0</v>
      </c>
      <c r="AU67" s="35"/>
      <c r="AV67" s="35">
        <f>C67-I67</f>
        <v>45352869</v>
      </c>
      <c r="AW67" s="35"/>
      <c r="AX67" s="23" t="s">
        <v>59</v>
      </c>
      <c r="AY67" s="35"/>
      <c r="AZ67" s="24">
        <v>1014227</v>
      </c>
      <c r="BA67" s="35"/>
      <c r="BB67" s="24">
        <v>18050800</v>
      </c>
      <c r="BC67" s="35"/>
      <c r="BD67" s="24">
        <v>0</v>
      </c>
      <c r="BE67" s="35"/>
      <c r="BF67" s="24">
        <f>1724615+6150300+240583</f>
        <v>8115498</v>
      </c>
      <c r="BG67" s="35"/>
      <c r="BH67" s="35"/>
      <c r="BI67" s="35"/>
      <c r="BJ67" s="17">
        <f t="shared" si="5"/>
        <v>27180525</v>
      </c>
      <c r="BK67" s="17"/>
    </row>
    <row r="68" spans="1:62" s="36" customFormat="1" ht="12" hidden="1">
      <c r="A68" s="23" t="s">
        <v>60</v>
      </c>
      <c r="B68" s="23"/>
      <c r="C68" s="35">
        <f t="shared" si="7"/>
        <v>0</v>
      </c>
      <c r="D68" s="35"/>
      <c r="E68" s="24"/>
      <c r="F68" s="35"/>
      <c r="G68" s="24"/>
      <c r="H68" s="35"/>
      <c r="I68" s="35">
        <f t="shared" si="10"/>
        <v>0</v>
      </c>
      <c r="J68" s="35"/>
      <c r="K68" s="24"/>
      <c r="L68" s="35"/>
      <c r="M68" s="24"/>
      <c r="N68" s="35"/>
      <c r="O68" s="24"/>
      <c r="P68" s="35"/>
      <c r="Q68" s="24"/>
      <c r="R68" s="35"/>
      <c r="S68" s="24"/>
      <c r="T68" s="35"/>
      <c r="U68" s="35">
        <f t="shared" si="2"/>
        <v>0</v>
      </c>
      <c r="V68" s="35">
        <f t="shared" si="11"/>
        <v>0</v>
      </c>
      <c r="W68" s="35"/>
      <c r="X68" s="23" t="s">
        <v>60</v>
      </c>
      <c r="Y68" s="35"/>
      <c r="Z68" s="24"/>
      <c r="AA68" s="35"/>
      <c r="AB68" s="24"/>
      <c r="AC68" s="35"/>
      <c r="AD68" s="24"/>
      <c r="AE68" s="35"/>
      <c r="AF68" s="35">
        <f t="shared" si="3"/>
        <v>0</v>
      </c>
      <c r="AG68" s="35"/>
      <c r="AH68" s="24"/>
      <c r="AI68" s="35"/>
      <c r="AJ68" s="24"/>
      <c r="AK68" s="35"/>
      <c r="AL68" s="24"/>
      <c r="AM68" s="35"/>
      <c r="AN68" s="24"/>
      <c r="AO68" s="35"/>
      <c r="AP68" s="35">
        <f t="shared" si="8"/>
        <v>0</v>
      </c>
      <c r="AQ68" s="35"/>
      <c r="AR68" s="35">
        <v>0</v>
      </c>
      <c r="AS68" s="35"/>
      <c r="AT68" s="35">
        <v>0</v>
      </c>
      <c r="AU68" s="35"/>
      <c r="AV68" s="35">
        <f t="shared" si="4"/>
        <v>0</v>
      </c>
      <c r="AW68" s="35"/>
      <c r="AX68" s="23" t="s">
        <v>60</v>
      </c>
      <c r="AY68" s="35"/>
      <c r="AZ68" s="24"/>
      <c r="BA68" s="35"/>
      <c r="BB68" s="24"/>
      <c r="BC68" s="35"/>
      <c r="BD68" s="24"/>
      <c r="BE68" s="35"/>
      <c r="BF68" s="24"/>
      <c r="BG68" s="35"/>
      <c r="BH68" s="35"/>
      <c r="BI68" s="35"/>
      <c r="BJ68" s="17">
        <f t="shared" si="5"/>
        <v>0</v>
      </c>
    </row>
    <row r="69" spans="1:62" s="36" customFormat="1" ht="12" hidden="1">
      <c r="A69" s="23" t="s">
        <v>97</v>
      </c>
      <c r="B69" s="23"/>
      <c r="C69" s="35">
        <f t="shared" si="7"/>
        <v>0</v>
      </c>
      <c r="D69" s="35"/>
      <c r="E69" s="24"/>
      <c r="F69" s="35"/>
      <c r="G69" s="24"/>
      <c r="H69" s="35"/>
      <c r="I69" s="35">
        <f t="shared" si="10"/>
        <v>0</v>
      </c>
      <c r="J69" s="35"/>
      <c r="K69" s="24"/>
      <c r="L69" s="35"/>
      <c r="M69" s="24"/>
      <c r="N69" s="35"/>
      <c r="O69" s="24"/>
      <c r="P69" s="35"/>
      <c r="Q69" s="24"/>
      <c r="R69" s="35"/>
      <c r="S69" s="24"/>
      <c r="T69" s="35"/>
      <c r="U69" s="35">
        <f t="shared" si="2"/>
        <v>0</v>
      </c>
      <c r="V69" s="35">
        <f t="shared" si="11"/>
        <v>0</v>
      </c>
      <c r="W69" s="35"/>
      <c r="X69" s="23" t="s">
        <v>97</v>
      </c>
      <c r="Y69" s="35"/>
      <c r="Z69" s="24"/>
      <c r="AA69" s="35"/>
      <c r="AB69" s="24"/>
      <c r="AC69" s="35"/>
      <c r="AD69" s="24"/>
      <c r="AE69" s="35"/>
      <c r="AF69" s="35">
        <f t="shared" si="3"/>
        <v>0</v>
      </c>
      <c r="AG69" s="35"/>
      <c r="AH69" s="24"/>
      <c r="AI69" s="35"/>
      <c r="AJ69" s="24"/>
      <c r="AK69" s="35"/>
      <c r="AL69" s="24"/>
      <c r="AM69" s="35"/>
      <c r="AN69" s="24"/>
      <c r="AO69" s="35"/>
      <c r="AP69" s="35">
        <f t="shared" si="8"/>
        <v>0</v>
      </c>
      <c r="AQ69" s="35"/>
      <c r="AR69" s="35">
        <v>0</v>
      </c>
      <c r="AS69" s="35"/>
      <c r="AT69" s="35">
        <v>0</v>
      </c>
      <c r="AU69" s="35"/>
      <c r="AV69" s="35">
        <f t="shared" si="4"/>
        <v>0</v>
      </c>
      <c r="AW69" s="35"/>
      <c r="AX69" s="23" t="s">
        <v>97</v>
      </c>
      <c r="AY69" s="35"/>
      <c r="AZ69" s="24"/>
      <c r="BA69" s="35"/>
      <c r="BB69" s="24"/>
      <c r="BC69" s="35"/>
      <c r="BD69" s="24"/>
      <c r="BE69" s="35"/>
      <c r="BF69" s="24"/>
      <c r="BG69" s="35"/>
      <c r="BH69" s="35"/>
      <c r="BI69" s="35"/>
      <c r="BJ69" s="17">
        <f t="shared" si="5"/>
        <v>0</v>
      </c>
    </row>
    <row r="70" spans="1:62" s="36" customFormat="1" ht="12">
      <c r="A70" s="23" t="s">
        <v>61</v>
      </c>
      <c r="B70" s="23"/>
      <c r="C70" s="35">
        <f t="shared" si="7"/>
        <v>3909288</v>
      </c>
      <c r="D70" s="35"/>
      <c r="E70" s="24">
        <v>22320400</v>
      </c>
      <c r="F70" s="35"/>
      <c r="G70" s="24">
        <v>26229688</v>
      </c>
      <c r="H70" s="35"/>
      <c r="I70" s="35">
        <f t="shared" si="10"/>
        <v>824692</v>
      </c>
      <c r="J70" s="35"/>
      <c r="K70" s="24">
        <v>8930671</v>
      </c>
      <c r="L70" s="35"/>
      <c r="M70" s="24">
        <v>9755363</v>
      </c>
      <c r="N70" s="35"/>
      <c r="O70" s="24">
        <v>12970684</v>
      </c>
      <c r="P70" s="35"/>
      <c r="Q70" s="24">
        <v>0</v>
      </c>
      <c r="R70" s="35"/>
      <c r="S70" s="24">
        <v>3503641</v>
      </c>
      <c r="T70" s="35"/>
      <c r="U70" s="35">
        <f t="shared" si="2"/>
        <v>16474325</v>
      </c>
      <c r="V70" s="35">
        <f t="shared" si="11"/>
        <v>0</v>
      </c>
      <c r="W70" s="35"/>
      <c r="X70" s="23" t="s">
        <v>61</v>
      </c>
      <c r="Y70" s="35"/>
      <c r="Z70" s="24">
        <v>3709276</v>
      </c>
      <c r="AA70" s="35"/>
      <c r="AB70" s="24">
        <f>3323257-969149</f>
        <v>2354108</v>
      </c>
      <c r="AC70" s="35"/>
      <c r="AD70" s="24">
        <v>969149</v>
      </c>
      <c r="AE70" s="35"/>
      <c r="AF70" s="35">
        <f t="shared" si="3"/>
        <v>386019</v>
      </c>
      <c r="AG70" s="35"/>
      <c r="AH70" s="24">
        <v>-333838</v>
      </c>
      <c r="AI70" s="35"/>
      <c r="AJ70" s="24">
        <v>1569</v>
      </c>
      <c r="AK70" s="35"/>
      <c r="AL70" s="24">
        <v>0</v>
      </c>
      <c r="AM70" s="35"/>
      <c r="AN70" s="24">
        <f>277000+48309</f>
        <v>325309</v>
      </c>
      <c r="AO70" s="35"/>
      <c r="AP70" s="35">
        <f t="shared" si="8"/>
        <v>379059</v>
      </c>
      <c r="AQ70" s="35"/>
      <c r="AR70" s="35">
        <v>0</v>
      </c>
      <c r="AS70" s="35"/>
      <c r="AT70" s="35">
        <v>0</v>
      </c>
      <c r="AU70" s="35"/>
      <c r="AV70" s="35">
        <f t="shared" si="4"/>
        <v>3084596</v>
      </c>
      <c r="AW70" s="35"/>
      <c r="AX70" s="23" t="s">
        <v>61</v>
      </c>
      <c r="AY70" s="35"/>
      <c r="AZ70" s="24">
        <v>5255007</v>
      </c>
      <c r="BA70" s="35"/>
      <c r="BB70" s="24">
        <v>0</v>
      </c>
      <c r="BC70" s="35"/>
      <c r="BD70" s="24">
        <v>3611587</v>
      </c>
      <c r="BE70" s="35"/>
      <c r="BF70" s="24">
        <f>30825+33252</f>
        <v>64077</v>
      </c>
      <c r="BG70" s="35"/>
      <c r="BH70" s="35"/>
      <c r="BI70" s="35"/>
      <c r="BJ70" s="17">
        <f t="shared" si="5"/>
        <v>8930671</v>
      </c>
    </row>
    <row r="71" spans="1:62" s="36" customFormat="1" ht="12" hidden="1">
      <c r="A71" s="23" t="s">
        <v>62</v>
      </c>
      <c r="B71" s="23"/>
      <c r="C71" s="35">
        <f t="shared" si="7"/>
        <v>0</v>
      </c>
      <c r="D71" s="35"/>
      <c r="E71" s="24"/>
      <c r="F71" s="35"/>
      <c r="G71" s="24"/>
      <c r="H71" s="35"/>
      <c r="I71" s="35">
        <f t="shared" si="10"/>
        <v>0</v>
      </c>
      <c r="J71" s="35"/>
      <c r="K71" s="24"/>
      <c r="L71" s="35"/>
      <c r="M71" s="24"/>
      <c r="N71" s="35"/>
      <c r="O71" s="24"/>
      <c r="P71" s="35"/>
      <c r="Q71" s="24"/>
      <c r="R71" s="35"/>
      <c r="S71" s="24"/>
      <c r="T71" s="35"/>
      <c r="U71" s="35">
        <f t="shared" si="2"/>
        <v>0</v>
      </c>
      <c r="V71" s="35">
        <f t="shared" si="11"/>
        <v>0</v>
      </c>
      <c r="W71" s="35"/>
      <c r="X71" s="23" t="s">
        <v>62</v>
      </c>
      <c r="Y71" s="35"/>
      <c r="Z71" s="24"/>
      <c r="AA71" s="35"/>
      <c r="AB71" s="24"/>
      <c r="AC71" s="35"/>
      <c r="AD71" s="24"/>
      <c r="AE71" s="35"/>
      <c r="AF71" s="35">
        <f t="shared" si="3"/>
        <v>0</v>
      </c>
      <c r="AG71" s="35"/>
      <c r="AH71" s="24"/>
      <c r="AI71" s="35"/>
      <c r="AJ71" s="24"/>
      <c r="AK71" s="35"/>
      <c r="AL71" s="24"/>
      <c r="AM71" s="35"/>
      <c r="AN71" s="24"/>
      <c r="AO71" s="35"/>
      <c r="AP71" s="35">
        <f t="shared" si="8"/>
        <v>0</v>
      </c>
      <c r="AQ71" s="35"/>
      <c r="AR71" s="35">
        <v>0</v>
      </c>
      <c r="AS71" s="35"/>
      <c r="AT71" s="35">
        <v>0</v>
      </c>
      <c r="AU71" s="35"/>
      <c r="AV71" s="35">
        <f t="shared" si="4"/>
        <v>0</v>
      </c>
      <c r="AW71" s="35"/>
      <c r="AX71" s="23" t="s">
        <v>62</v>
      </c>
      <c r="AY71" s="35"/>
      <c r="AZ71" s="24"/>
      <c r="BA71" s="35"/>
      <c r="BB71" s="24"/>
      <c r="BC71" s="35"/>
      <c r="BD71" s="24"/>
      <c r="BE71" s="35"/>
      <c r="BF71" s="24"/>
      <c r="BG71" s="35"/>
      <c r="BH71" s="35"/>
      <c r="BI71" s="35"/>
      <c r="BJ71" s="17">
        <f t="shared" si="5"/>
        <v>0</v>
      </c>
    </row>
    <row r="72" spans="1:62" s="36" customFormat="1" ht="12" hidden="1">
      <c r="A72" s="23" t="s">
        <v>63</v>
      </c>
      <c r="B72" s="23"/>
      <c r="C72" s="35">
        <f t="shared" si="7"/>
        <v>0</v>
      </c>
      <c r="D72" s="35"/>
      <c r="E72" s="24"/>
      <c r="F72" s="35"/>
      <c r="G72" s="24"/>
      <c r="H72" s="35"/>
      <c r="I72" s="35">
        <f t="shared" si="10"/>
        <v>0</v>
      </c>
      <c r="J72" s="35"/>
      <c r="K72" s="24"/>
      <c r="L72" s="35"/>
      <c r="M72" s="24"/>
      <c r="N72" s="35"/>
      <c r="O72" s="24"/>
      <c r="P72" s="35"/>
      <c r="Q72" s="24"/>
      <c r="R72" s="35"/>
      <c r="S72" s="24"/>
      <c r="T72" s="35"/>
      <c r="U72" s="35">
        <f t="shared" si="2"/>
        <v>0</v>
      </c>
      <c r="V72" s="35">
        <f t="shared" si="11"/>
        <v>0</v>
      </c>
      <c r="W72" s="35"/>
      <c r="X72" s="23" t="s">
        <v>63</v>
      </c>
      <c r="Y72" s="35"/>
      <c r="Z72" s="24"/>
      <c r="AA72" s="35"/>
      <c r="AB72" s="24"/>
      <c r="AC72" s="35"/>
      <c r="AD72" s="24"/>
      <c r="AE72" s="35"/>
      <c r="AF72" s="35">
        <f t="shared" si="3"/>
        <v>0</v>
      </c>
      <c r="AG72" s="35"/>
      <c r="AH72" s="24"/>
      <c r="AI72" s="35"/>
      <c r="AJ72" s="24"/>
      <c r="AK72" s="35"/>
      <c r="AL72" s="24"/>
      <c r="AM72" s="35"/>
      <c r="AN72" s="24"/>
      <c r="AO72" s="35"/>
      <c r="AP72" s="35">
        <f t="shared" si="8"/>
        <v>0</v>
      </c>
      <c r="AQ72" s="35"/>
      <c r="AR72" s="35">
        <v>0</v>
      </c>
      <c r="AS72" s="35"/>
      <c r="AT72" s="35">
        <v>0</v>
      </c>
      <c r="AU72" s="35"/>
      <c r="AV72" s="35">
        <f t="shared" si="4"/>
        <v>0</v>
      </c>
      <c r="AW72" s="35"/>
      <c r="AX72" s="23" t="s">
        <v>63</v>
      </c>
      <c r="AY72" s="35"/>
      <c r="AZ72" s="24"/>
      <c r="BA72" s="35"/>
      <c r="BB72" s="24"/>
      <c r="BC72" s="35"/>
      <c r="BD72" s="24"/>
      <c r="BE72" s="35"/>
      <c r="BF72" s="24"/>
      <c r="BG72" s="35"/>
      <c r="BH72" s="35"/>
      <c r="BI72" s="35"/>
      <c r="BJ72" s="17">
        <f t="shared" si="5"/>
        <v>0</v>
      </c>
    </row>
    <row r="73" spans="1:62" s="36" customFormat="1" ht="12" hidden="1">
      <c r="A73" s="23" t="s">
        <v>131</v>
      </c>
      <c r="B73" s="23"/>
      <c r="C73" s="35">
        <f t="shared" si="7"/>
        <v>0</v>
      </c>
      <c r="D73" s="35"/>
      <c r="E73" s="24"/>
      <c r="F73" s="35"/>
      <c r="G73" s="24"/>
      <c r="H73" s="35"/>
      <c r="I73" s="35">
        <f t="shared" si="10"/>
        <v>0</v>
      </c>
      <c r="J73" s="35"/>
      <c r="K73" s="24"/>
      <c r="L73" s="35"/>
      <c r="M73" s="24"/>
      <c r="N73" s="35"/>
      <c r="O73" s="24"/>
      <c r="P73" s="35"/>
      <c r="Q73" s="24"/>
      <c r="R73" s="35"/>
      <c r="S73" s="24"/>
      <c r="T73" s="35"/>
      <c r="U73" s="35">
        <f t="shared" si="2"/>
        <v>0</v>
      </c>
      <c r="V73" s="35">
        <f t="shared" si="11"/>
        <v>0</v>
      </c>
      <c r="W73" s="35"/>
      <c r="X73" s="23" t="s">
        <v>131</v>
      </c>
      <c r="Y73" s="35"/>
      <c r="Z73" s="24"/>
      <c r="AA73" s="35"/>
      <c r="AB73" s="24"/>
      <c r="AC73" s="35"/>
      <c r="AD73" s="24"/>
      <c r="AE73" s="35"/>
      <c r="AF73" s="35">
        <f t="shared" si="3"/>
        <v>0</v>
      </c>
      <c r="AG73" s="35"/>
      <c r="AH73" s="24"/>
      <c r="AI73" s="35"/>
      <c r="AJ73" s="24"/>
      <c r="AK73" s="35"/>
      <c r="AL73" s="24"/>
      <c r="AM73" s="35"/>
      <c r="AN73" s="24"/>
      <c r="AO73" s="35"/>
      <c r="AP73" s="35">
        <f t="shared" si="8"/>
        <v>0</v>
      </c>
      <c r="AQ73" s="35"/>
      <c r="AR73" s="35">
        <v>0</v>
      </c>
      <c r="AS73" s="35"/>
      <c r="AT73" s="35">
        <v>0</v>
      </c>
      <c r="AU73" s="35"/>
      <c r="AV73" s="35">
        <f t="shared" si="4"/>
        <v>0</v>
      </c>
      <c r="AW73" s="35"/>
      <c r="AX73" s="23" t="s">
        <v>131</v>
      </c>
      <c r="AY73" s="35"/>
      <c r="AZ73" s="24"/>
      <c r="BA73" s="35"/>
      <c r="BB73" s="24"/>
      <c r="BC73" s="35"/>
      <c r="BD73" s="24"/>
      <c r="BE73" s="35"/>
      <c r="BF73" s="24"/>
      <c r="BG73" s="35"/>
      <c r="BH73" s="35"/>
      <c r="BI73" s="35"/>
      <c r="BJ73" s="17">
        <f t="shared" si="5"/>
        <v>0</v>
      </c>
    </row>
    <row r="74" spans="1:66" s="36" customFormat="1" ht="12" hidden="1">
      <c r="A74" s="23" t="s">
        <v>64</v>
      </c>
      <c r="B74" s="23"/>
      <c r="C74" s="35">
        <f t="shared" si="7"/>
        <v>0</v>
      </c>
      <c r="D74" s="35"/>
      <c r="E74" s="24"/>
      <c r="F74" s="35"/>
      <c r="G74" s="24"/>
      <c r="H74" s="35"/>
      <c r="I74" s="35">
        <f t="shared" si="10"/>
        <v>0</v>
      </c>
      <c r="J74" s="35"/>
      <c r="K74" s="24"/>
      <c r="L74" s="35"/>
      <c r="M74" s="24"/>
      <c r="N74" s="35"/>
      <c r="O74" s="24"/>
      <c r="P74" s="35"/>
      <c r="Q74" s="24"/>
      <c r="R74" s="35"/>
      <c r="S74" s="24"/>
      <c r="T74" s="35"/>
      <c r="U74" s="35">
        <f t="shared" si="2"/>
        <v>0</v>
      </c>
      <c r="V74" s="35">
        <f t="shared" si="11"/>
        <v>0</v>
      </c>
      <c r="W74" s="35"/>
      <c r="X74" s="23" t="s">
        <v>64</v>
      </c>
      <c r="Y74" s="35"/>
      <c r="Z74" s="24"/>
      <c r="AA74" s="35"/>
      <c r="AB74" s="24"/>
      <c r="AC74" s="35"/>
      <c r="AD74" s="24"/>
      <c r="AE74" s="35"/>
      <c r="AF74" s="35">
        <f t="shared" si="3"/>
        <v>0</v>
      </c>
      <c r="AG74" s="35"/>
      <c r="AH74" s="24"/>
      <c r="AI74" s="35"/>
      <c r="AJ74" s="24"/>
      <c r="AK74" s="35"/>
      <c r="AL74" s="24"/>
      <c r="AM74" s="35"/>
      <c r="AN74" s="24"/>
      <c r="AO74" s="35"/>
      <c r="AP74" s="35">
        <f t="shared" si="8"/>
        <v>0</v>
      </c>
      <c r="AQ74" s="35"/>
      <c r="AR74" s="35">
        <v>0</v>
      </c>
      <c r="AS74" s="35"/>
      <c r="AT74" s="35">
        <v>0</v>
      </c>
      <c r="AU74" s="35"/>
      <c r="AV74" s="35">
        <f t="shared" si="4"/>
        <v>0</v>
      </c>
      <c r="AW74" s="35"/>
      <c r="AX74" s="23" t="s">
        <v>64</v>
      </c>
      <c r="AY74" s="35"/>
      <c r="AZ74" s="24"/>
      <c r="BA74" s="35"/>
      <c r="BB74" s="24"/>
      <c r="BC74" s="35"/>
      <c r="BD74" s="24"/>
      <c r="BE74" s="35"/>
      <c r="BF74" s="24"/>
      <c r="BG74" s="35"/>
      <c r="BH74" s="35"/>
      <c r="BI74" s="35"/>
      <c r="BJ74" s="17">
        <f t="shared" si="5"/>
        <v>0</v>
      </c>
      <c r="BL74" s="77"/>
      <c r="BM74" s="77"/>
      <c r="BN74" s="77"/>
    </row>
    <row r="75" spans="1:66" s="36" customFormat="1" ht="12" hidden="1">
      <c r="A75" s="23" t="s">
        <v>65</v>
      </c>
      <c r="B75" s="23"/>
      <c r="C75" s="35">
        <f t="shared" si="7"/>
        <v>0</v>
      </c>
      <c r="D75" s="35"/>
      <c r="E75" s="24"/>
      <c r="F75" s="35"/>
      <c r="G75" s="24"/>
      <c r="H75" s="35"/>
      <c r="I75" s="35">
        <f t="shared" si="10"/>
        <v>0</v>
      </c>
      <c r="J75" s="35"/>
      <c r="K75" s="24"/>
      <c r="L75" s="35"/>
      <c r="M75" s="24"/>
      <c r="N75" s="35"/>
      <c r="O75" s="24"/>
      <c r="P75" s="35"/>
      <c r="Q75" s="24"/>
      <c r="R75" s="35"/>
      <c r="S75" s="24"/>
      <c r="T75" s="35"/>
      <c r="U75" s="35">
        <f t="shared" si="2"/>
        <v>0</v>
      </c>
      <c r="V75" s="35">
        <f t="shared" si="11"/>
        <v>0</v>
      </c>
      <c r="W75" s="35"/>
      <c r="X75" s="23" t="s">
        <v>65</v>
      </c>
      <c r="Y75" s="35"/>
      <c r="Z75" s="24"/>
      <c r="AA75" s="35"/>
      <c r="AB75" s="24"/>
      <c r="AC75" s="35"/>
      <c r="AD75" s="24"/>
      <c r="AE75" s="35"/>
      <c r="AF75" s="35">
        <f t="shared" si="3"/>
        <v>0</v>
      </c>
      <c r="AG75" s="35"/>
      <c r="AH75" s="24"/>
      <c r="AI75" s="35"/>
      <c r="AJ75" s="24"/>
      <c r="AK75" s="35"/>
      <c r="AL75" s="24"/>
      <c r="AM75" s="35"/>
      <c r="AN75" s="24"/>
      <c r="AO75" s="35"/>
      <c r="AP75" s="35">
        <f t="shared" si="8"/>
        <v>0</v>
      </c>
      <c r="AQ75" s="35"/>
      <c r="AR75" s="35">
        <v>0</v>
      </c>
      <c r="AS75" s="35"/>
      <c r="AT75" s="35">
        <v>0</v>
      </c>
      <c r="AU75" s="35"/>
      <c r="AV75" s="35">
        <f t="shared" si="4"/>
        <v>0</v>
      </c>
      <c r="AW75" s="35"/>
      <c r="AX75" s="23" t="s">
        <v>65</v>
      </c>
      <c r="AY75" s="35"/>
      <c r="AZ75" s="24"/>
      <c r="BA75" s="35"/>
      <c r="BB75" s="24"/>
      <c r="BC75" s="35"/>
      <c r="BD75" s="24"/>
      <c r="BE75" s="35"/>
      <c r="BF75" s="24"/>
      <c r="BG75" s="35"/>
      <c r="BH75" s="35"/>
      <c r="BI75" s="35"/>
      <c r="BJ75" s="17">
        <f t="shared" si="5"/>
        <v>0</v>
      </c>
      <c r="BL75" s="77"/>
      <c r="BM75" s="77"/>
      <c r="BN75" s="77"/>
    </row>
    <row r="76" spans="1:62" s="36" customFormat="1" ht="12" hidden="1">
      <c r="A76" s="23" t="s">
        <v>66</v>
      </c>
      <c r="B76" s="23"/>
      <c r="C76" s="35">
        <f t="shared" si="7"/>
        <v>0</v>
      </c>
      <c r="D76" s="35"/>
      <c r="E76" s="24"/>
      <c r="F76" s="35"/>
      <c r="G76" s="24"/>
      <c r="H76" s="35"/>
      <c r="I76" s="35">
        <f t="shared" si="10"/>
        <v>0</v>
      </c>
      <c r="J76" s="35"/>
      <c r="K76" s="24"/>
      <c r="L76" s="35"/>
      <c r="M76" s="24"/>
      <c r="N76" s="35"/>
      <c r="O76" s="24"/>
      <c r="P76" s="35"/>
      <c r="Q76" s="24"/>
      <c r="R76" s="35"/>
      <c r="S76" s="24"/>
      <c r="T76" s="35"/>
      <c r="U76" s="35">
        <f t="shared" si="2"/>
        <v>0</v>
      </c>
      <c r="V76" s="35">
        <f t="shared" si="11"/>
        <v>0</v>
      </c>
      <c r="W76" s="35"/>
      <c r="X76" s="23" t="s">
        <v>66</v>
      </c>
      <c r="Y76" s="35"/>
      <c r="Z76" s="24"/>
      <c r="AA76" s="35"/>
      <c r="AB76" s="24"/>
      <c r="AC76" s="35"/>
      <c r="AD76" s="24"/>
      <c r="AE76" s="35"/>
      <c r="AF76" s="35">
        <f t="shared" si="3"/>
        <v>0</v>
      </c>
      <c r="AG76" s="35"/>
      <c r="AH76" s="24"/>
      <c r="AI76" s="35"/>
      <c r="AJ76" s="24"/>
      <c r="AK76" s="35"/>
      <c r="AL76" s="24"/>
      <c r="AM76" s="35"/>
      <c r="AN76" s="24"/>
      <c r="AO76" s="35"/>
      <c r="AP76" s="35">
        <f t="shared" si="8"/>
        <v>0</v>
      </c>
      <c r="AQ76" s="35"/>
      <c r="AR76" s="35">
        <v>0</v>
      </c>
      <c r="AS76" s="35"/>
      <c r="AT76" s="35">
        <v>0</v>
      </c>
      <c r="AU76" s="35"/>
      <c r="AV76" s="35">
        <f t="shared" si="4"/>
        <v>0</v>
      </c>
      <c r="AW76" s="35"/>
      <c r="AX76" s="23" t="s">
        <v>66</v>
      </c>
      <c r="AY76" s="35"/>
      <c r="AZ76" s="24"/>
      <c r="BA76" s="35"/>
      <c r="BB76" s="24"/>
      <c r="BC76" s="35"/>
      <c r="BD76" s="24"/>
      <c r="BE76" s="35"/>
      <c r="BF76" s="24"/>
      <c r="BG76" s="35"/>
      <c r="BH76" s="35"/>
      <c r="BI76" s="35"/>
      <c r="BJ76" s="17">
        <f t="shared" si="5"/>
        <v>0</v>
      </c>
    </row>
    <row r="77" spans="1:62" s="36" customFormat="1" ht="12">
      <c r="A77" s="23" t="s">
        <v>67</v>
      </c>
      <c r="B77" s="23"/>
      <c r="C77" s="35">
        <f t="shared" si="7"/>
        <v>6901051</v>
      </c>
      <c r="D77" s="35"/>
      <c r="E77" s="24">
        <v>19984175</v>
      </c>
      <c r="F77" s="35"/>
      <c r="G77" s="24">
        <v>26885226</v>
      </c>
      <c r="H77" s="35"/>
      <c r="I77" s="35">
        <f t="shared" si="10"/>
        <v>953768</v>
      </c>
      <c r="J77" s="35"/>
      <c r="K77" s="24">
        <v>4723225</v>
      </c>
      <c r="L77" s="35"/>
      <c r="M77" s="24">
        <v>5676993</v>
      </c>
      <c r="N77" s="35"/>
      <c r="O77" s="24">
        <v>14577850</v>
      </c>
      <c r="P77" s="35"/>
      <c r="Q77" s="24">
        <v>0</v>
      </c>
      <c r="R77" s="35"/>
      <c r="S77" s="24">
        <v>6630383</v>
      </c>
      <c r="T77" s="35"/>
      <c r="U77" s="35">
        <f aca="true" t="shared" si="12" ref="U77:U97">SUM(O77:S77)</f>
        <v>21208233</v>
      </c>
      <c r="V77" s="35">
        <f t="shared" si="11"/>
        <v>0</v>
      </c>
      <c r="W77" s="35"/>
      <c r="X77" s="23" t="s">
        <v>67</v>
      </c>
      <c r="Y77" s="35"/>
      <c r="Z77" s="24">
        <v>4155852</v>
      </c>
      <c r="AA77" s="35"/>
      <c r="AB77" s="24">
        <f>3073250-506970</f>
        <v>2566280</v>
      </c>
      <c r="AC77" s="35"/>
      <c r="AD77" s="24">
        <v>506970</v>
      </c>
      <c r="AE77" s="35"/>
      <c r="AF77" s="35">
        <f aca="true" t="shared" si="13" ref="AF77:AF97">+Z77-AB77-AD77</f>
        <v>1082602</v>
      </c>
      <c r="AG77" s="35"/>
      <c r="AH77" s="24">
        <v>162321</v>
      </c>
      <c r="AI77" s="35"/>
      <c r="AJ77" s="24">
        <v>0</v>
      </c>
      <c r="AK77" s="35"/>
      <c r="AL77" s="24">
        <v>0</v>
      </c>
      <c r="AM77" s="35"/>
      <c r="AN77" s="24">
        <v>0</v>
      </c>
      <c r="AO77" s="35"/>
      <c r="AP77" s="35">
        <f t="shared" si="8"/>
        <v>1244923</v>
      </c>
      <c r="AQ77" s="35"/>
      <c r="AR77" s="35">
        <v>0</v>
      </c>
      <c r="AS77" s="35"/>
      <c r="AT77" s="35">
        <v>0</v>
      </c>
      <c r="AU77" s="35"/>
      <c r="AV77" s="35">
        <f aca="true" t="shared" si="14" ref="AV77:AV97">C77-I77</f>
        <v>5947283</v>
      </c>
      <c r="AW77" s="35"/>
      <c r="AX77" s="23" t="s">
        <v>67</v>
      </c>
      <c r="AY77" s="35"/>
      <c r="AZ77" s="24">
        <v>0</v>
      </c>
      <c r="BA77" s="35"/>
      <c r="BB77" s="24">
        <v>4706701</v>
      </c>
      <c r="BC77" s="35"/>
      <c r="BD77" s="24">
        <v>0</v>
      </c>
      <c r="BE77" s="35"/>
      <c r="BF77" s="24">
        <v>16524</v>
      </c>
      <c r="BG77" s="35"/>
      <c r="BH77" s="35"/>
      <c r="BI77" s="35"/>
      <c r="BJ77" s="17">
        <f aca="true" t="shared" si="15" ref="BJ77:BJ97">SUM(AZ77:BF77)+BH77</f>
        <v>4723225</v>
      </c>
    </row>
    <row r="78" spans="1:62" s="36" customFormat="1" ht="12" hidden="1">
      <c r="A78" s="23" t="s">
        <v>68</v>
      </c>
      <c r="B78" s="23"/>
      <c r="C78" s="35">
        <f t="shared" si="7"/>
        <v>0</v>
      </c>
      <c r="D78" s="35"/>
      <c r="E78" s="24"/>
      <c r="F78" s="35"/>
      <c r="G78" s="24"/>
      <c r="H78" s="35"/>
      <c r="I78" s="35">
        <f t="shared" si="10"/>
        <v>0</v>
      </c>
      <c r="J78" s="35"/>
      <c r="K78" s="24"/>
      <c r="L78" s="35"/>
      <c r="M78" s="24"/>
      <c r="N78" s="35"/>
      <c r="O78" s="24"/>
      <c r="P78" s="35"/>
      <c r="Q78" s="24"/>
      <c r="R78" s="35"/>
      <c r="S78" s="24"/>
      <c r="T78" s="35"/>
      <c r="U78" s="35">
        <f t="shared" si="12"/>
        <v>0</v>
      </c>
      <c r="V78" s="35">
        <f t="shared" si="11"/>
        <v>0</v>
      </c>
      <c r="W78" s="35"/>
      <c r="X78" s="23" t="s">
        <v>68</v>
      </c>
      <c r="Y78" s="35"/>
      <c r="Z78" s="24"/>
      <c r="AA78" s="35"/>
      <c r="AB78" s="24"/>
      <c r="AC78" s="35"/>
      <c r="AD78" s="24"/>
      <c r="AE78" s="35"/>
      <c r="AF78" s="35">
        <f t="shared" si="13"/>
        <v>0</v>
      </c>
      <c r="AG78" s="35"/>
      <c r="AH78" s="24"/>
      <c r="AI78" s="35"/>
      <c r="AJ78" s="24"/>
      <c r="AK78" s="35"/>
      <c r="AL78" s="24"/>
      <c r="AM78" s="35"/>
      <c r="AN78" s="24"/>
      <c r="AO78" s="35"/>
      <c r="AP78" s="35">
        <f t="shared" si="8"/>
        <v>0</v>
      </c>
      <c r="AQ78" s="35"/>
      <c r="AR78" s="35">
        <v>0</v>
      </c>
      <c r="AS78" s="35"/>
      <c r="AT78" s="35">
        <v>0</v>
      </c>
      <c r="AU78" s="35"/>
      <c r="AV78" s="35">
        <f t="shared" si="14"/>
        <v>0</v>
      </c>
      <c r="AW78" s="35"/>
      <c r="AX78" s="23" t="s">
        <v>68</v>
      </c>
      <c r="AY78" s="35"/>
      <c r="AZ78" s="24"/>
      <c r="BA78" s="35"/>
      <c r="BB78" s="24"/>
      <c r="BC78" s="35"/>
      <c r="BD78" s="24"/>
      <c r="BE78" s="35"/>
      <c r="BF78" s="24"/>
      <c r="BG78" s="35"/>
      <c r="BH78" s="35"/>
      <c r="BI78" s="35"/>
      <c r="BJ78" s="17">
        <f t="shared" si="15"/>
        <v>0</v>
      </c>
    </row>
    <row r="79" spans="1:62" s="36" customFormat="1" ht="12" hidden="1">
      <c r="A79" s="23" t="s">
        <v>175</v>
      </c>
      <c r="B79" s="23"/>
      <c r="C79" s="35">
        <f t="shared" si="7"/>
        <v>0</v>
      </c>
      <c r="D79" s="35"/>
      <c r="E79" s="24"/>
      <c r="F79" s="35"/>
      <c r="G79" s="24"/>
      <c r="H79" s="35"/>
      <c r="I79" s="35">
        <f t="shared" si="10"/>
        <v>0</v>
      </c>
      <c r="J79" s="35"/>
      <c r="K79" s="24"/>
      <c r="L79" s="35"/>
      <c r="M79" s="24"/>
      <c r="N79" s="35"/>
      <c r="O79" s="24"/>
      <c r="P79" s="35"/>
      <c r="Q79" s="24"/>
      <c r="R79" s="35"/>
      <c r="S79" s="24"/>
      <c r="T79" s="35"/>
      <c r="U79" s="35">
        <f t="shared" si="12"/>
        <v>0</v>
      </c>
      <c r="V79" s="35">
        <f t="shared" si="11"/>
        <v>0</v>
      </c>
      <c r="W79" s="35"/>
      <c r="X79" s="23" t="s">
        <v>175</v>
      </c>
      <c r="Y79" s="35"/>
      <c r="Z79" s="24"/>
      <c r="AA79" s="35"/>
      <c r="AB79" s="24"/>
      <c r="AC79" s="35"/>
      <c r="AD79" s="24"/>
      <c r="AE79" s="35"/>
      <c r="AF79" s="35">
        <f t="shared" si="13"/>
        <v>0</v>
      </c>
      <c r="AG79" s="35"/>
      <c r="AH79" s="24"/>
      <c r="AI79" s="35"/>
      <c r="AJ79" s="24"/>
      <c r="AK79" s="35"/>
      <c r="AL79" s="24"/>
      <c r="AM79" s="35"/>
      <c r="AN79" s="24"/>
      <c r="AO79" s="35"/>
      <c r="AP79" s="35">
        <f t="shared" si="8"/>
        <v>0</v>
      </c>
      <c r="AQ79" s="35"/>
      <c r="AR79" s="35">
        <v>0</v>
      </c>
      <c r="AS79" s="35"/>
      <c r="AT79" s="35">
        <v>0</v>
      </c>
      <c r="AU79" s="35"/>
      <c r="AV79" s="35">
        <f t="shared" si="14"/>
        <v>0</v>
      </c>
      <c r="AW79" s="35"/>
      <c r="AX79" s="23" t="s">
        <v>175</v>
      </c>
      <c r="AY79" s="35"/>
      <c r="AZ79" s="24"/>
      <c r="BA79" s="35"/>
      <c r="BB79" s="24"/>
      <c r="BC79" s="35"/>
      <c r="BD79" s="24"/>
      <c r="BE79" s="35"/>
      <c r="BF79" s="24"/>
      <c r="BG79" s="35"/>
      <c r="BH79" s="35"/>
      <c r="BI79" s="35"/>
      <c r="BJ79" s="17">
        <f t="shared" si="15"/>
        <v>0</v>
      </c>
    </row>
    <row r="80" spans="1:62" s="36" customFormat="1" ht="12" hidden="1">
      <c r="A80" s="23" t="s">
        <v>132</v>
      </c>
      <c r="B80" s="23"/>
      <c r="C80" s="35">
        <f t="shared" si="7"/>
        <v>0</v>
      </c>
      <c r="D80" s="35"/>
      <c r="E80" s="24"/>
      <c r="F80" s="35"/>
      <c r="G80" s="24"/>
      <c r="H80" s="35"/>
      <c r="I80" s="35">
        <f t="shared" si="10"/>
        <v>0</v>
      </c>
      <c r="J80" s="35"/>
      <c r="K80" s="24"/>
      <c r="L80" s="35"/>
      <c r="M80" s="24"/>
      <c r="N80" s="35"/>
      <c r="O80" s="24"/>
      <c r="P80" s="35"/>
      <c r="Q80" s="24"/>
      <c r="R80" s="35"/>
      <c r="S80" s="24"/>
      <c r="T80" s="35"/>
      <c r="U80" s="35">
        <f t="shared" si="12"/>
        <v>0</v>
      </c>
      <c r="V80" s="35">
        <f t="shared" si="11"/>
        <v>0</v>
      </c>
      <c r="W80" s="35"/>
      <c r="X80" s="23" t="s">
        <v>132</v>
      </c>
      <c r="Y80" s="35"/>
      <c r="Z80" s="24"/>
      <c r="AA80" s="35"/>
      <c r="AB80" s="24"/>
      <c r="AC80" s="35"/>
      <c r="AD80" s="24"/>
      <c r="AE80" s="35"/>
      <c r="AF80" s="35">
        <f t="shared" si="13"/>
        <v>0</v>
      </c>
      <c r="AG80" s="35"/>
      <c r="AH80" s="24"/>
      <c r="AI80" s="35"/>
      <c r="AJ80" s="24"/>
      <c r="AK80" s="35"/>
      <c r="AL80" s="24"/>
      <c r="AM80" s="35"/>
      <c r="AN80" s="24"/>
      <c r="AO80" s="35"/>
      <c r="AP80" s="35">
        <f t="shared" si="8"/>
        <v>0</v>
      </c>
      <c r="AQ80" s="35"/>
      <c r="AR80" s="35">
        <v>0</v>
      </c>
      <c r="AS80" s="35"/>
      <c r="AT80" s="35">
        <v>0</v>
      </c>
      <c r="AU80" s="35"/>
      <c r="AV80" s="35">
        <f t="shared" si="14"/>
        <v>0</v>
      </c>
      <c r="AW80" s="35"/>
      <c r="AX80" s="23" t="s">
        <v>132</v>
      </c>
      <c r="AY80" s="35"/>
      <c r="AZ80" s="24"/>
      <c r="BA80" s="35"/>
      <c r="BB80" s="24"/>
      <c r="BC80" s="35"/>
      <c r="BD80" s="24"/>
      <c r="BE80" s="35"/>
      <c r="BF80" s="24"/>
      <c r="BG80" s="35"/>
      <c r="BH80" s="35"/>
      <c r="BI80" s="35"/>
      <c r="BJ80" s="17">
        <f t="shared" si="15"/>
        <v>0</v>
      </c>
    </row>
    <row r="81" spans="1:62" s="36" customFormat="1" ht="12" hidden="1">
      <c r="A81" s="23" t="s">
        <v>69</v>
      </c>
      <c r="B81" s="23"/>
      <c r="C81" s="35">
        <f aca="true" t="shared" si="16" ref="C81:C95">+G81-E81</f>
        <v>0</v>
      </c>
      <c r="D81" s="35"/>
      <c r="E81" s="24"/>
      <c r="F81" s="35"/>
      <c r="G81" s="24"/>
      <c r="H81" s="35"/>
      <c r="I81" s="35">
        <f t="shared" si="10"/>
        <v>0</v>
      </c>
      <c r="J81" s="35"/>
      <c r="K81" s="24"/>
      <c r="L81" s="35"/>
      <c r="M81" s="24"/>
      <c r="N81" s="35"/>
      <c r="O81" s="24"/>
      <c r="P81" s="35"/>
      <c r="Q81" s="24"/>
      <c r="R81" s="35"/>
      <c r="S81" s="24"/>
      <c r="T81" s="35"/>
      <c r="U81" s="35">
        <f t="shared" si="12"/>
        <v>0</v>
      </c>
      <c r="V81" s="35">
        <f t="shared" si="11"/>
        <v>0</v>
      </c>
      <c r="W81" s="35"/>
      <c r="X81" s="23" t="s">
        <v>69</v>
      </c>
      <c r="Y81" s="35"/>
      <c r="Z81" s="24"/>
      <c r="AA81" s="35"/>
      <c r="AB81" s="24"/>
      <c r="AC81" s="35"/>
      <c r="AD81" s="24"/>
      <c r="AE81" s="35"/>
      <c r="AF81" s="35">
        <f t="shared" si="13"/>
        <v>0</v>
      </c>
      <c r="AG81" s="35"/>
      <c r="AH81" s="24"/>
      <c r="AI81" s="35"/>
      <c r="AJ81" s="24"/>
      <c r="AK81" s="35"/>
      <c r="AL81" s="24"/>
      <c r="AM81" s="35"/>
      <c r="AN81" s="24"/>
      <c r="AO81" s="35"/>
      <c r="AP81" s="35">
        <f>+AN81+AJ81+AH81+AF81-AL81</f>
        <v>0</v>
      </c>
      <c r="AQ81" s="35"/>
      <c r="AR81" s="35">
        <v>0</v>
      </c>
      <c r="AS81" s="35"/>
      <c r="AT81" s="35">
        <v>0</v>
      </c>
      <c r="AU81" s="35"/>
      <c r="AV81" s="35">
        <f t="shared" si="14"/>
        <v>0</v>
      </c>
      <c r="AW81" s="35"/>
      <c r="AX81" s="23" t="s">
        <v>69</v>
      </c>
      <c r="AY81" s="35"/>
      <c r="AZ81" s="24"/>
      <c r="BA81" s="35"/>
      <c r="BB81" s="24"/>
      <c r="BC81" s="35"/>
      <c r="BD81" s="24"/>
      <c r="BE81" s="35"/>
      <c r="BF81" s="24"/>
      <c r="BG81" s="35"/>
      <c r="BH81" s="35"/>
      <c r="BI81" s="35"/>
      <c r="BJ81" s="17">
        <f t="shared" si="15"/>
        <v>0</v>
      </c>
    </row>
    <row r="82" spans="1:62" s="36" customFormat="1" ht="12" hidden="1">
      <c r="A82" s="23" t="s">
        <v>98</v>
      </c>
      <c r="B82" s="23"/>
      <c r="C82" s="35">
        <f t="shared" si="16"/>
        <v>0</v>
      </c>
      <c r="D82" s="35"/>
      <c r="E82" s="24"/>
      <c r="F82" s="35"/>
      <c r="G82" s="24"/>
      <c r="H82" s="35"/>
      <c r="I82" s="35">
        <f t="shared" si="10"/>
        <v>0</v>
      </c>
      <c r="J82" s="35"/>
      <c r="K82" s="24"/>
      <c r="L82" s="35"/>
      <c r="M82" s="24"/>
      <c r="N82" s="35"/>
      <c r="O82" s="24"/>
      <c r="P82" s="35"/>
      <c r="Q82" s="24"/>
      <c r="R82" s="35"/>
      <c r="S82" s="24"/>
      <c r="T82" s="35"/>
      <c r="U82" s="35">
        <f t="shared" si="12"/>
        <v>0</v>
      </c>
      <c r="V82" s="35">
        <f t="shared" si="11"/>
        <v>0</v>
      </c>
      <c r="W82" s="35"/>
      <c r="X82" s="23" t="s">
        <v>98</v>
      </c>
      <c r="Y82" s="35"/>
      <c r="Z82" s="24"/>
      <c r="AA82" s="35"/>
      <c r="AB82" s="24"/>
      <c r="AC82" s="35"/>
      <c r="AD82" s="24"/>
      <c r="AE82" s="35"/>
      <c r="AF82" s="35">
        <f t="shared" si="13"/>
        <v>0</v>
      </c>
      <c r="AG82" s="35"/>
      <c r="AH82" s="24"/>
      <c r="AI82" s="35"/>
      <c r="AJ82" s="24"/>
      <c r="AK82" s="35"/>
      <c r="AL82" s="24"/>
      <c r="AM82" s="35"/>
      <c r="AN82" s="24"/>
      <c r="AO82" s="35"/>
      <c r="AP82" s="35">
        <f aca="true" t="shared" si="17" ref="AP82:AP95">+AN82+AJ82+AH82+AF82-AL82</f>
        <v>0</v>
      </c>
      <c r="AQ82" s="35"/>
      <c r="AR82" s="35">
        <v>0</v>
      </c>
      <c r="AS82" s="35"/>
      <c r="AT82" s="35">
        <v>0</v>
      </c>
      <c r="AU82" s="35"/>
      <c r="AV82" s="35">
        <f t="shared" si="14"/>
        <v>0</v>
      </c>
      <c r="AW82" s="35"/>
      <c r="AX82" s="23" t="s">
        <v>98</v>
      </c>
      <c r="AY82" s="35"/>
      <c r="AZ82" s="24"/>
      <c r="BA82" s="35"/>
      <c r="BB82" s="24"/>
      <c r="BC82" s="35"/>
      <c r="BD82" s="24"/>
      <c r="BE82" s="35"/>
      <c r="BF82" s="24"/>
      <c r="BG82" s="35"/>
      <c r="BH82" s="35"/>
      <c r="BI82" s="35"/>
      <c r="BJ82" s="17">
        <f t="shared" si="15"/>
        <v>0</v>
      </c>
    </row>
    <row r="83" spans="1:62" s="36" customFormat="1" ht="12" hidden="1">
      <c r="A83" s="23" t="s">
        <v>70</v>
      </c>
      <c r="B83" s="23"/>
      <c r="C83" s="35">
        <f t="shared" si="16"/>
        <v>0</v>
      </c>
      <c r="D83" s="35"/>
      <c r="E83" s="24"/>
      <c r="F83" s="35"/>
      <c r="G83" s="24"/>
      <c r="H83" s="35"/>
      <c r="I83" s="35">
        <f t="shared" si="10"/>
        <v>0</v>
      </c>
      <c r="J83" s="35"/>
      <c r="K83" s="24"/>
      <c r="L83" s="35"/>
      <c r="M83" s="24"/>
      <c r="N83" s="35"/>
      <c r="O83" s="24"/>
      <c r="P83" s="35"/>
      <c r="Q83" s="24"/>
      <c r="R83" s="35"/>
      <c r="S83" s="24"/>
      <c r="T83" s="35"/>
      <c r="U83" s="35">
        <f t="shared" si="12"/>
        <v>0</v>
      </c>
      <c r="V83" s="35">
        <f t="shared" si="11"/>
        <v>0</v>
      </c>
      <c r="W83" s="35"/>
      <c r="X83" s="23" t="s">
        <v>70</v>
      </c>
      <c r="Y83" s="35"/>
      <c r="Z83" s="24"/>
      <c r="AA83" s="35"/>
      <c r="AB83" s="24"/>
      <c r="AC83" s="35"/>
      <c r="AD83" s="24"/>
      <c r="AE83" s="35"/>
      <c r="AF83" s="35">
        <f t="shared" si="13"/>
        <v>0</v>
      </c>
      <c r="AG83" s="35"/>
      <c r="AH83" s="24"/>
      <c r="AI83" s="35"/>
      <c r="AJ83" s="24"/>
      <c r="AK83" s="35"/>
      <c r="AL83" s="24"/>
      <c r="AM83" s="35"/>
      <c r="AN83" s="24"/>
      <c r="AO83" s="35"/>
      <c r="AP83" s="35">
        <f t="shared" si="17"/>
        <v>0</v>
      </c>
      <c r="AQ83" s="35"/>
      <c r="AR83" s="35">
        <v>0</v>
      </c>
      <c r="AS83" s="35"/>
      <c r="AT83" s="35">
        <v>0</v>
      </c>
      <c r="AU83" s="35"/>
      <c r="AV83" s="35">
        <f t="shared" si="14"/>
        <v>0</v>
      </c>
      <c r="AW83" s="35"/>
      <c r="AX83" s="23" t="s">
        <v>70</v>
      </c>
      <c r="AY83" s="35"/>
      <c r="AZ83" s="24"/>
      <c r="BA83" s="35"/>
      <c r="BB83" s="24"/>
      <c r="BC83" s="35"/>
      <c r="BD83" s="24"/>
      <c r="BE83" s="35"/>
      <c r="BF83" s="24"/>
      <c r="BG83" s="35"/>
      <c r="BH83" s="35"/>
      <c r="BI83" s="35"/>
      <c r="BJ83" s="17">
        <f t="shared" si="15"/>
        <v>0</v>
      </c>
    </row>
    <row r="84" spans="1:62" s="36" customFormat="1" ht="12" hidden="1">
      <c r="A84" s="23" t="s">
        <v>71</v>
      </c>
      <c r="B84" s="23"/>
      <c r="C84" s="35">
        <f t="shared" si="16"/>
        <v>0</v>
      </c>
      <c r="D84" s="35"/>
      <c r="E84" s="24"/>
      <c r="F84" s="35"/>
      <c r="G84" s="24"/>
      <c r="H84" s="35"/>
      <c r="I84" s="35">
        <f t="shared" si="10"/>
        <v>0</v>
      </c>
      <c r="J84" s="35"/>
      <c r="K84" s="24"/>
      <c r="L84" s="35"/>
      <c r="M84" s="24"/>
      <c r="N84" s="35"/>
      <c r="O84" s="24"/>
      <c r="P84" s="35"/>
      <c r="Q84" s="24"/>
      <c r="R84" s="35"/>
      <c r="S84" s="24"/>
      <c r="T84" s="35"/>
      <c r="U84" s="35">
        <f t="shared" si="12"/>
        <v>0</v>
      </c>
      <c r="V84" s="35">
        <f t="shared" si="11"/>
        <v>0</v>
      </c>
      <c r="W84" s="35"/>
      <c r="X84" s="23" t="s">
        <v>71</v>
      </c>
      <c r="Y84" s="35"/>
      <c r="Z84" s="24"/>
      <c r="AA84" s="35"/>
      <c r="AB84" s="24"/>
      <c r="AC84" s="35"/>
      <c r="AD84" s="24"/>
      <c r="AE84" s="35"/>
      <c r="AF84" s="35">
        <f t="shared" si="13"/>
        <v>0</v>
      </c>
      <c r="AG84" s="35"/>
      <c r="AH84" s="24"/>
      <c r="AI84" s="35"/>
      <c r="AJ84" s="24"/>
      <c r="AK84" s="35"/>
      <c r="AL84" s="24"/>
      <c r="AM84" s="35"/>
      <c r="AN84" s="24"/>
      <c r="AO84" s="35"/>
      <c r="AP84" s="35">
        <f t="shared" si="17"/>
        <v>0</v>
      </c>
      <c r="AQ84" s="35"/>
      <c r="AR84" s="35">
        <v>0</v>
      </c>
      <c r="AS84" s="35"/>
      <c r="AT84" s="35">
        <v>0</v>
      </c>
      <c r="AU84" s="35"/>
      <c r="AV84" s="35">
        <f t="shared" si="14"/>
        <v>0</v>
      </c>
      <c r="AW84" s="35"/>
      <c r="AX84" s="23" t="s">
        <v>71</v>
      </c>
      <c r="AY84" s="35"/>
      <c r="AZ84" s="24"/>
      <c r="BA84" s="35"/>
      <c r="BB84" s="24"/>
      <c r="BC84" s="35"/>
      <c r="BD84" s="24"/>
      <c r="BE84" s="35"/>
      <c r="BF84" s="24"/>
      <c r="BG84" s="35"/>
      <c r="BH84" s="35"/>
      <c r="BI84" s="35"/>
      <c r="BJ84" s="17">
        <f t="shared" si="15"/>
        <v>0</v>
      </c>
    </row>
    <row r="85" spans="1:62" s="36" customFormat="1" ht="12" hidden="1">
      <c r="A85" s="23" t="s">
        <v>72</v>
      </c>
      <c r="B85" s="23"/>
      <c r="C85" s="35">
        <f t="shared" si="16"/>
        <v>0</v>
      </c>
      <c r="D85" s="35"/>
      <c r="E85" s="24"/>
      <c r="F85" s="35"/>
      <c r="G85" s="24"/>
      <c r="H85" s="35"/>
      <c r="I85" s="35">
        <f t="shared" si="10"/>
        <v>0</v>
      </c>
      <c r="J85" s="35"/>
      <c r="K85" s="24"/>
      <c r="L85" s="35"/>
      <c r="M85" s="24"/>
      <c r="N85" s="35"/>
      <c r="O85" s="24"/>
      <c r="P85" s="35"/>
      <c r="Q85" s="24"/>
      <c r="R85" s="35"/>
      <c r="S85" s="24"/>
      <c r="T85" s="35"/>
      <c r="U85" s="35">
        <f t="shared" si="12"/>
        <v>0</v>
      </c>
      <c r="V85" s="35">
        <f t="shared" si="11"/>
        <v>0</v>
      </c>
      <c r="W85" s="35"/>
      <c r="X85" s="23" t="s">
        <v>72</v>
      </c>
      <c r="Y85" s="35"/>
      <c r="Z85" s="24"/>
      <c r="AA85" s="35"/>
      <c r="AB85" s="24"/>
      <c r="AC85" s="35"/>
      <c r="AD85" s="24"/>
      <c r="AE85" s="35"/>
      <c r="AF85" s="35">
        <f t="shared" si="13"/>
        <v>0</v>
      </c>
      <c r="AG85" s="35"/>
      <c r="AH85" s="24"/>
      <c r="AI85" s="35"/>
      <c r="AJ85" s="24"/>
      <c r="AK85" s="35"/>
      <c r="AL85" s="24"/>
      <c r="AM85" s="35"/>
      <c r="AN85" s="24"/>
      <c r="AO85" s="35"/>
      <c r="AP85" s="35">
        <f t="shared" si="17"/>
        <v>0</v>
      </c>
      <c r="AQ85" s="35"/>
      <c r="AR85" s="35">
        <v>0</v>
      </c>
      <c r="AS85" s="35"/>
      <c r="AT85" s="35">
        <v>0</v>
      </c>
      <c r="AU85" s="35"/>
      <c r="AV85" s="35">
        <f t="shared" si="14"/>
        <v>0</v>
      </c>
      <c r="AW85" s="35"/>
      <c r="AX85" s="23" t="s">
        <v>72</v>
      </c>
      <c r="AY85" s="35"/>
      <c r="AZ85" s="24"/>
      <c r="BA85" s="35"/>
      <c r="BB85" s="24"/>
      <c r="BC85" s="35"/>
      <c r="BD85" s="24"/>
      <c r="BE85" s="35"/>
      <c r="BF85" s="24"/>
      <c r="BG85" s="35"/>
      <c r="BH85" s="35"/>
      <c r="BI85" s="35"/>
      <c r="BJ85" s="17">
        <f t="shared" si="15"/>
        <v>0</v>
      </c>
    </row>
    <row r="86" spans="1:62" s="36" customFormat="1" ht="12" hidden="1">
      <c r="A86" s="23" t="s">
        <v>73</v>
      </c>
      <c r="B86" s="23"/>
      <c r="C86" s="35">
        <f t="shared" si="16"/>
        <v>0</v>
      </c>
      <c r="D86" s="35"/>
      <c r="E86" s="24"/>
      <c r="F86" s="35"/>
      <c r="G86" s="24"/>
      <c r="H86" s="35"/>
      <c r="I86" s="35">
        <f t="shared" si="10"/>
        <v>0</v>
      </c>
      <c r="J86" s="35"/>
      <c r="K86" s="24"/>
      <c r="L86" s="35"/>
      <c r="M86" s="24"/>
      <c r="N86" s="35"/>
      <c r="O86" s="24"/>
      <c r="P86" s="35"/>
      <c r="Q86" s="24"/>
      <c r="R86" s="35"/>
      <c r="S86" s="24"/>
      <c r="T86" s="35"/>
      <c r="U86" s="35">
        <f t="shared" si="12"/>
        <v>0</v>
      </c>
      <c r="V86" s="35">
        <f t="shared" si="11"/>
        <v>0</v>
      </c>
      <c r="W86" s="35"/>
      <c r="X86" s="23" t="s">
        <v>73</v>
      </c>
      <c r="Y86" s="35"/>
      <c r="Z86" s="24"/>
      <c r="AA86" s="35"/>
      <c r="AB86" s="24"/>
      <c r="AC86" s="35"/>
      <c r="AD86" s="24"/>
      <c r="AE86" s="35"/>
      <c r="AF86" s="35">
        <f t="shared" si="13"/>
        <v>0</v>
      </c>
      <c r="AG86" s="35"/>
      <c r="AH86" s="24"/>
      <c r="AI86" s="35"/>
      <c r="AJ86" s="24"/>
      <c r="AK86" s="35"/>
      <c r="AL86" s="24"/>
      <c r="AM86" s="35"/>
      <c r="AN86" s="24"/>
      <c r="AO86" s="35"/>
      <c r="AP86" s="35">
        <f t="shared" si="17"/>
        <v>0</v>
      </c>
      <c r="AQ86" s="35"/>
      <c r="AR86" s="35">
        <v>0</v>
      </c>
      <c r="AS86" s="35"/>
      <c r="AT86" s="35">
        <v>0</v>
      </c>
      <c r="AU86" s="35"/>
      <c r="AV86" s="35">
        <f t="shared" si="14"/>
        <v>0</v>
      </c>
      <c r="AW86" s="35"/>
      <c r="AX86" s="23" t="s">
        <v>73</v>
      </c>
      <c r="AY86" s="35"/>
      <c r="AZ86" s="24"/>
      <c r="BA86" s="35"/>
      <c r="BB86" s="24"/>
      <c r="BC86" s="35"/>
      <c r="BD86" s="24"/>
      <c r="BE86" s="35"/>
      <c r="BF86" s="24"/>
      <c r="BG86" s="35"/>
      <c r="BH86" s="35"/>
      <c r="BI86" s="35"/>
      <c r="BJ86" s="17">
        <f t="shared" si="15"/>
        <v>0</v>
      </c>
    </row>
    <row r="87" spans="1:62" s="36" customFormat="1" ht="12">
      <c r="A87" s="23" t="s">
        <v>74</v>
      </c>
      <c r="B87" s="23"/>
      <c r="C87" s="35">
        <f t="shared" si="16"/>
        <v>545973</v>
      </c>
      <c r="D87" s="35"/>
      <c r="E87" s="24">
        <v>0</v>
      </c>
      <c r="F87" s="35"/>
      <c r="G87" s="24">
        <v>545973</v>
      </c>
      <c r="H87" s="35"/>
      <c r="I87" s="35">
        <f t="shared" si="10"/>
        <v>34309</v>
      </c>
      <c r="J87" s="35"/>
      <c r="K87" s="24">
        <v>0</v>
      </c>
      <c r="L87" s="35"/>
      <c r="M87" s="24">
        <v>34309</v>
      </c>
      <c r="N87" s="35"/>
      <c r="O87" s="24">
        <v>0</v>
      </c>
      <c r="P87" s="35"/>
      <c r="Q87" s="24">
        <v>0</v>
      </c>
      <c r="R87" s="35"/>
      <c r="S87" s="24">
        <v>511664</v>
      </c>
      <c r="T87" s="35"/>
      <c r="U87" s="35">
        <f t="shared" si="12"/>
        <v>511664</v>
      </c>
      <c r="V87" s="35">
        <f t="shared" si="11"/>
        <v>0</v>
      </c>
      <c r="W87" s="35"/>
      <c r="X87" s="23" t="s">
        <v>74</v>
      </c>
      <c r="Y87" s="35"/>
      <c r="Z87" s="24">
        <v>11381</v>
      </c>
      <c r="AA87" s="35"/>
      <c r="AB87" s="24">
        <v>0</v>
      </c>
      <c r="AC87" s="35"/>
      <c r="AD87" s="24">
        <v>0</v>
      </c>
      <c r="AE87" s="35"/>
      <c r="AF87" s="35">
        <f t="shared" si="13"/>
        <v>11381</v>
      </c>
      <c r="AG87" s="35"/>
      <c r="AH87" s="24">
        <v>-6996</v>
      </c>
      <c r="AI87" s="35"/>
      <c r="AJ87" s="24">
        <v>0</v>
      </c>
      <c r="AK87" s="35"/>
      <c r="AL87" s="24">
        <v>0</v>
      </c>
      <c r="AM87" s="35"/>
      <c r="AN87" s="24">
        <v>0</v>
      </c>
      <c r="AO87" s="35"/>
      <c r="AP87" s="35">
        <f t="shared" si="17"/>
        <v>4385</v>
      </c>
      <c r="AQ87" s="35"/>
      <c r="AR87" s="35">
        <v>0</v>
      </c>
      <c r="AS87" s="35"/>
      <c r="AT87" s="35">
        <v>0</v>
      </c>
      <c r="AU87" s="35"/>
      <c r="AV87" s="35">
        <f t="shared" si="14"/>
        <v>511664</v>
      </c>
      <c r="AW87" s="35"/>
      <c r="AX87" s="23" t="s">
        <v>74</v>
      </c>
      <c r="AY87" s="35"/>
      <c r="AZ87" s="24">
        <v>0</v>
      </c>
      <c r="BA87" s="35"/>
      <c r="BB87" s="24">
        <v>0</v>
      </c>
      <c r="BC87" s="35"/>
      <c r="BD87" s="24">
        <v>0</v>
      </c>
      <c r="BE87" s="35"/>
      <c r="BF87" s="24">
        <v>0</v>
      </c>
      <c r="BG87" s="35"/>
      <c r="BH87" s="35"/>
      <c r="BI87" s="35"/>
      <c r="BJ87" s="17">
        <f t="shared" si="15"/>
        <v>0</v>
      </c>
    </row>
    <row r="88" spans="1:62" s="36" customFormat="1" ht="12">
      <c r="A88" s="23" t="s">
        <v>75</v>
      </c>
      <c r="B88" s="23"/>
      <c r="C88" s="35">
        <f t="shared" si="16"/>
        <v>2850610</v>
      </c>
      <c r="D88" s="35"/>
      <c r="E88" s="24">
        <v>20705592</v>
      </c>
      <c r="F88" s="35"/>
      <c r="G88" s="24">
        <v>23556202</v>
      </c>
      <c r="H88" s="35"/>
      <c r="I88" s="35">
        <f aca="true" t="shared" si="18" ref="I88:I93">+M88-K88</f>
        <v>359028</v>
      </c>
      <c r="J88" s="35"/>
      <c r="K88" s="24">
        <v>2116620</v>
      </c>
      <c r="L88" s="35"/>
      <c r="M88" s="24">
        <v>2475648</v>
      </c>
      <c r="N88" s="35"/>
      <c r="O88" s="24">
        <v>19129918</v>
      </c>
      <c r="P88" s="35"/>
      <c r="Q88" s="24">
        <v>0</v>
      </c>
      <c r="R88" s="35"/>
      <c r="S88" s="24">
        <v>1950636</v>
      </c>
      <c r="T88" s="35"/>
      <c r="U88" s="35">
        <f t="shared" si="12"/>
        <v>21080554</v>
      </c>
      <c r="V88" s="35">
        <f aca="true" t="shared" si="19" ref="V88:V97">G88-M88-U88</f>
        <v>0</v>
      </c>
      <c r="W88" s="35"/>
      <c r="X88" s="23" t="s">
        <v>75</v>
      </c>
      <c r="Y88" s="35"/>
      <c r="Z88" s="24">
        <v>4744610</v>
      </c>
      <c r="AA88" s="35"/>
      <c r="AB88" s="24">
        <f>3512054-835818</f>
        <v>2676236</v>
      </c>
      <c r="AC88" s="35"/>
      <c r="AD88" s="24">
        <v>835818</v>
      </c>
      <c r="AE88" s="35"/>
      <c r="AF88" s="35">
        <f t="shared" si="13"/>
        <v>1232556</v>
      </c>
      <c r="AG88" s="35"/>
      <c r="AH88" s="24">
        <v>-7875</v>
      </c>
      <c r="AI88" s="35"/>
      <c r="AJ88" s="24">
        <v>594324</v>
      </c>
      <c r="AK88" s="35"/>
      <c r="AL88" s="24">
        <v>2103203</v>
      </c>
      <c r="AM88" s="35"/>
      <c r="AN88" s="24">
        <v>11871</v>
      </c>
      <c r="AO88" s="35"/>
      <c r="AP88" s="35">
        <f t="shared" si="17"/>
        <v>-272327</v>
      </c>
      <c r="AQ88" s="35"/>
      <c r="AR88" s="35">
        <v>0</v>
      </c>
      <c r="AS88" s="35"/>
      <c r="AT88" s="35">
        <v>0</v>
      </c>
      <c r="AU88" s="35"/>
      <c r="AV88" s="35">
        <f t="shared" si="14"/>
        <v>2491582</v>
      </c>
      <c r="AW88" s="35"/>
      <c r="AX88" s="23" t="s">
        <v>75</v>
      </c>
      <c r="AY88" s="35"/>
      <c r="AZ88" s="24">
        <v>40843</v>
      </c>
      <c r="BA88" s="35"/>
      <c r="BB88" s="24">
        <v>0</v>
      </c>
      <c r="BC88" s="35"/>
      <c r="BD88" s="24">
        <f>1445070+580700</f>
        <v>2025770</v>
      </c>
      <c r="BE88" s="35"/>
      <c r="BF88" s="24">
        <v>50007</v>
      </c>
      <c r="BG88" s="35"/>
      <c r="BH88" s="35"/>
      <c r="BI88" s="35"/>
      <c r="BJ88" s="17">
        <f t="shared" si="15"/>
        <v>2116620</v>
      </c>
    </row>
    <row r="89" spans="1:62" s="36" customFormat="1" ht="12">
      <c r="A89" s="23" t="s">
        <v>76</v>
      </c>
      <c r="B89" s="23"/>
      <c r="C89" s="35">
        <f t="shared" si="16"/>
        <v>1056142</v>
      </c>
      <c r="D89" s="35"/>
      <c r="E89" s="24">
        <v>7296387</v>
      </c>
      <c r="F89" s="35"/>
      <c r="G89" s="24">
        <v>8352529</v>
      </c>
      <c r="H89" s="35"/>
      <c r="I89" s="35">
        <f t="shared" si="18"/>
        <v>1510875</v>
      </c>
      <c r="J89" s="35"/>
      <c r="K89" s="24">
        <v>2069108</v>
      </c>
      <c r="L89" s="35"/>
      <c r="M89" s="24">
        <v>3579983</v>
      </c>
      <c r="N89" s="35"/>
      <c r="O89" s="24">
        <v>5204470</v>
      </c>
      <c r="P89" s="35"/>
      <c r="Q89" s="24">
        <v>0</v>
      </c>
      <c r="R89" s="35"/>
      <c r="S89" s="24">
        <v>-431924</v>
      </c>
      <c r="T89" s="35"/>
      <c r="U89" s="35">
        <f t="shared" si="12"/>
        <v>4772546</v>
      </c>
      <c r="V89" s="35">
        <f t="shared" si="19"/>
        <v>0</v>
      </c>
      <c r="W89" s="35"/>
      <c r="X89" s="23" t="s">
        <v>76</v>
      </c>
      <c r="Y89" s="35"/>
      <c r="Z89" s="24">
        <v>797147</v>
      </c>
      <c r="AA89" s="35"/>
      <c r="AB89" s="24">
        <f>2199543-154516</f>
        <v>2045027</v>
      </c>
      <c r="AC89" s="35"/>
      <c r="AD89" s="24">
        <v>154516</v>
      </c>
      <c r="AE89" s="35"/>
      <c r="AF89" s="35">
        <f t="shared" si="13"/>
        <v>-1402396</v>
      </c>
      <c r="AG89" s="35"/>
      <c r="AH89" s="24">
        <v>371130</v>
      </c>
      <c r="AI89" s="35"/>
      <c r="AJ89" s="24">
        <v>0</v>
      </c>
      <c r="AK89" s="35"/>
      <c r="AL89" s="24">
        <v>0</v>
      </c>
      <c r="AM89" s="35"/>
      <c r="AN89" s="24">
        <v>0</v>
      </c>
      <c r="AO89" s="35"/>
      <c r="AP89" s="35">
        <f t="shared" si="17"/>
        <v>-1031266</v>
      </c>
      <c r="AQ89" s="35"/>
      <c r="AR89" s="35">
        <v>0</v>
      </c>
      <c r="AS89" s="35"/>
      <c r="AT89" s="35">
        <v>0</v>
      </c>
      <c r="AU89" s="35"/>
      <c r="AV89" s="35">
        <f t="shared" si="14"/>
        <v>-454733</v>
      </c>
      <c r="AW89" s="35"/>
      <c r="AX89" s="23" t="s">
        <v>76</v>
      </c>
      <c r="AY89" s="35"/>
      <c r="AZ89" s="24">
        <v>476700</v>
      </c>
      <c r="BA89" s="35"/>
      <c r="BB89" s="24">
        <v>0</v>
      </c>
      <c r="BC89" s="35"/>
      <c r="BD89" s="24">
        <f>535584+335377+452785</f>
        <v>1323746</v>
      </c>
      <c r="BE89" s="35"/>
      <c r="BF89" s="24">
        <f>4104+264558</f>
        <v>268662</v>
      </c>
      <c r="BG89" s="35"/>
      <c r="BH89" s="35"/>
      <c r="BI89" s="35"/>
      <c r="BJ89" s="17">
        <f t="shared" si="15"/>
        <v>2069108</v>
      </c>
    </row>
    <row r="90" spans="1:62" s="36" customFormat="1" ht="12" hidden="1">
      <c r="A90" s="23" t="s">
        <v>77</v>
      </c>
      <c r="B90" s="23"/>
      <c r="C90" s="35">
        <f t="shared" si="16"/>
        <v>0</v>
      </c>
      <c r="D90" s="35"/>
      <c r="E90" s="24"/>
      <c r="F90" s="35"/>
      <c r="G90" s="24"/>
      <c r="H90" s="35"/>
      <c r="I90" s="35">
        <f t="shared" si="18"/>
        <v>0</v>
      </c>
      <c r="J90" s="35"/>
      <c r="K90" s="24"/>
      <c r="L90" s="35"/>
      <c r="M90" s="24"/>
      <c r="N90" s="35"/>
      <c r="O90" s="24"/>
      <c r="P90" s="35"/>
      <c r="Q90" s="24"/>
      <c r="R90" s="35"/>
      <c r="S90" s="24"/>
      <c r="T90" s="35"/>
      <c r="U90" s="35">
        <f t="shared" si="12"/>
        <v>0</v>
      </c>
      <c r="V90" s="35">
        <f t="shared" si="19"/>
        <v>0</v>
      </c>
      <c r="W90" s="35"/>
      <c r="X90" s="23" t="s">
        <v>77</v>
      </c>
      <c r="Y90" s="35"/>
      <c r="Z90" s="24"/>
      <c r="AA90" s="35"/>
      <c r="AB90" s="24"/>
      <c r="AC90" s="35"/>
      <c r="AD90" s="24"/>
      <c r="AE90" s="35"/>
      <c r="AF90" s="35">
        <f t="shared" si="13"/>
        <v>0</v>
      </c>
      <c r="AG90" s="35"/>
      <c r="AH90" s="24"/>
      <c r="AI90" s="35"/>
      <c r="AJ90" s="24"/>
      <c r="AK90" s="35"/>
      <c r="AL90" s="24"/>
      <c r="AM90" s="35"/>
      <c r="AN90" s="24"/>
      <c r="AO90" s="35"/>
      <c r="AP90" s="35">
        <f t="shared" si="17"/>
        <v>0</v>
      </c>
      <c r="AQ90" s="35"/>
      <c r="AR90" s="35">
        <v>0</v>
      </c>
      <c r="AS90" s="35"/>
      <c r="AT90" s="35">
        <v>0</v>
      </c>
      <c r="AU90" s="35"/>
      <c r="AV90" s="35">
        <f t="shared" si="14"/>
        <v>0</v>
      </c>
      <c r="AW90" s="35"/>
      <c r="AX90" s="23" t="s">
        <v>77</v>
      </c>
      <c r="AY90" s="35"/>
      <c r="AZ90" s="24"/>
      <c r="BA90" s="35"/>
      <c r="BB90" s="24"/>
      <c r="BC90" s="35"/>
      <c r="BD90" s="24"/>
      <c r="BE90" s="35"/>
      <c r="BF90" s="24"/>
      <c r="BG90" s="35"/>
      <c r="BH90" s="35"/>
      <c r="BI90" s="35"/>
      <c r="BJ90" s="17">
        <f t="shared" si="15"/>
        <v>0</v>
      </c>
    </row>
    <row r="91" spans="1:62" s="36" customFormat="1" ht="12" hidden="1">
      <c r="A91" s="23" t="s">
        <v>78</v>
      </c>
      <c r="B91" s="23"/>
      <c r="C91" s="35">
        <f t="shared" si="16"/>
        <v>0</v>
      </c>
      <c r="D91" s="35"/>
      <c r="E91" s="24"/>
      <c r="F91" s="35"/>
      <c r="G91" s="24"/>
      <c r="H91" s="35"/>
      <c r="I91" s="35">
        <f t="shared" si="18"/>
        <v>0</v>
      </c>
      <c r="J91" s="35"/>
      <c r="K91" s="24"/>
      <c r="L91" s="35"/>
      <c r="M91" s="24"/>
      <c r="N91" s="35"/>
      <c r="O91" s="24"/>
      <c r="P91" s="35"/>
      <c r="Q91" s="24"/>
      <c r="R91" s="35"/>
      <c r="S91" s="24"/>
      <c r="T91" s="35"/>
      <c r="U91" s="35">
        <f t="shared" si="12"/>
        <v>0</v>
      </c>
      <c r="V91" s="35">
        <f t="shared" si="19"/>
        <v>0</v>
      </c>
      <c r="W91" s="35"/>
      <c r="X91" s="23" t="s">
        <v>78</v>
      </c>
      <c r="Y91" s="35"/>
      <c r="Z91" s="24"/>
      <c r="AA91" s="35"/>
      <c r="AB91" s="24"/>
      <c r="AC91" s="35"/>
      <c r="AD91" s="24"/>
      <c r="AE91" s="35"/>
      <c r="AF91" s="35">
        <f t="shared" si="13"/>
        <v>0</v>
      </c>
      <c r="AG91" s="35"/>
      <c r="AH91" s="24"/>
      <c r="AI91" s="35"/>
      <c r="AJ91" s="24"/>
      <c r="AK91" s="35"/>
      <c r="AL91" s="24"/>
      <c r="AM91" s="35"/>
      <c r="AN91" s="24"/>
      <c r="AO91" s="35"/>
      <c r="AP91" s="35">
        <f t="shared" si="17"/>
        <v>0</v>
      </c>
      <c r="AQ91" s="35"/>
      <c r="AR91" s="35">
        <v>0</v>
      </c>
      <c r="AS91" s="35"/>
      <c r="AT91" s="35">
        <v>0</v>
      </c>
      <c r="AU91" s="35"/>
      <c r="AV91" s="35">
        <f t="shared" si="14"/>
        <v>0</v>
      </c>
      <c r="AW91" s="35"/>
      <c r="AX91" s="23" t="s">
        <v>78</v>
      </c>
      <c r="AY91" s="35"/>
      <c r="AZ91" s="24"/>
      <c r="BA91" s="35"/>
      <c r="BB91" s="24"/>
      <c r="BC91" s="35"/>
      <c r="BD91" s="24"/>
      <c r="BE91" s="35"/>
      <c r="BF91" s="24"/>
      <c r="BG91" s="35"/>
      <c r="BH91" s="35"/>
      <c r="BI91" s="35"/>
      <c r="BJ91" s="17">
        <f t="shared" si="15"/>
        <v>0</v>
      </c>
    </row>
    <row r="92" spans="1:62" s="36" customFormat="1" ht="12" hidden="1">
      <c r="A92" s="23" t="s">
        <v>79</v>
      </c>
      <c r="B92" s="23"/>
      <c r="C92" s="35">
        <f t="shared" si="16"/>
        <v>0</v>
      </c>
      <c r="D92" s="35"/>
      <c r="E92" s="24"/>
      <c r="F92" s="35"/>
      <c r="G92" s="24"/>
      <c r="H92" s="35"/>
      <c r="I92" s="35">
        <f t="shared" si="18"/>
        <v>0</v>
      </c>
      <c r="J92" s="35"/>
      <c r="K92" s="24"/>
      <c r="L92" s="35"/>
      <c r="M92" s="24"/>
      <c r="N92" s="35"/>
      <c r="O92" s="24"/>
      <c r="P92" s="35"/>
      <c r="Q92" s="24"/>
      <c r="R92" s="35"/>
      <c r="S92" s="24"/>
      <c r="T92" s="35"/>
      <c r="U92" s="35">
        <f t="shared" si="12"/>
        <v>0</v>
      </c>
      <c r="V92" s="35">
        <f t="shared" si="19"/>
        <v>0</v>
      </c>
      <c r="W92" s="35"/>
      <c r="X92" s="23" t="s">
        <v>79</v>
      </c>
      <c r="Y92" s="35"/>
      <c r="Z92" s="24"/>
      <c r="AA92" s="35"/>
      <c r="AB92" s="24"/>
      <c r="AC92" s="35"/>
      <c r="AD92" s="24"/>
      <c r="AE92" s="35"/>
      <c r="AF92" s="35">
        <f t="shared" si="13"/>
        <v>0</v>
      </c>
      <c r="AG92" s="35"/>
      <c r="AH92" s="24"/>
      <c r="AI92" s="35"/>
      <c r="AJ92" s="24"/>
      <c r="AK92" s="35"/>
      <c r="AL92" s="24"/>
      <c r="AM92" s="35"/>
      <c r="AN92" s="24"/>
      <c r="AO92" s="35"/>
      <c r="AP92" s="35">
        <f t="shared" si="17"/>
        <v>0</v>
      </c>
      <c r="AQ92" s="35"/>
      <c r="AR92" s="35">
        <v>0</v>
      </c>
      <c r="AS92" s="35"/>
      <c r="AT92" s="35">
        <v>0</v>
      </c>
      <c r="AU92" s="35"/>
      <c r="AV92" s="35">
        <f t="shared" si="14"/>
        <v>0</v>
      </c>
      <c r="AW92" s="35"/>
      <c r="AX92" s="23" t="s">
        <v>79</v>
      </c>
      <c r="AY92" s="35"/>
      <c r="AZ92" s="24"/>
      <c r="BA92" s="35"/>
      <c r="BB92" s="24"/>
      <c r="BC92" s="35"/>
      <c r="BD92" s="24"/>
      <c r="BE92" s="35"/>
      <c r="BF92" s="24"/>
      <c r="BG92" s="35"/>
      <c r="BH92" s="35"/>
      <c r="BI92" s="35"/>
      <c r="BJ92" s="17">
        <f t="shared" si="15"/>
        <v>0</v>
      </c>
    </row>
    <row r="93" spans="1:62" s="36" customFormat="1" ht="12">
      <c r="A93" s="23" t="s">
        <v>80</v>
      </c>
      <c r="B93" s="23"/>
      <c r="C93" s="35">
        <f t="shared" si="16"/>
        <v>17409234</v>
      </c>
      <c r="D93" s="35"/>
      <c r="E93" s="24">
        <v>108557375</v>
      </c>
      <c r="F93" s="35"/>
      <c r="G93" s="24">
        <v>125966609</v>
      </c>
      <c r="H93" s="35"/>
      <c r="I93" s="35">
        <f t="shared" si="18"/>
        <v>1579551</v>
      </c>
      <c r="J93" s="35"/>
      <c r="K93" s="24">
        <v>9227345</v>
      </c>
      <c r="L93" s="35"/>
      <c r="M93" s="24">
        <v>10806896</v>
      </c>
      <c r="N93" s="35"/>
      <c r="O93" s="24">
        <v>96123761</v>
      </c>
      <c r="P93" s="35"/>
      <c r="Q93" s="24">
        <v>65192</v>
      </c>
      <c r="R93" s="35"/>
      <c r="S93" s="24">
        <v>18970760</v>
      </c>
      <c r="T93" s="35"/>
      <c r="U93" s="35">
        <f t="shared" si="12"/>
        <v>115159713</v>
      </c>
      <c r="V93" s="35">
        <f t="shared" si="19"/>
        <v>0</v>
      </c>
      <c r="W93" s="35"/>
      <c r="X93" s="23" t="s">
        <v>80</v>
      </c>
      <c r="Y93" s="35"/>
      <c r="Z93" s="24">
        <v>9862589</v>
      </c>
      <c r="AA93" s="35"/>
      <c r="AB93" s="24">
        <f>12111692-4462761</f>
        <v>7648931</v>
      </c>
      <c r="AC93" s="35"/>
      <c r="AD93" s="24">
        <v>4462761</v>
      </c>
      <c r="AE93" s="35"/>
      <c r="AF93" s="35">
        <f t="shared" si="13"/>
        <v>-2249103</v>
      </c>
      <c r="AG93" s="35"/>
      <c r="AH93" s="24">
        <v>-332697</v>
      </c>
      <c r="AI93" s="35"/>
      <c r="AJ93" s="24">
        <v>0</v>
      </c>
      <c r="AK93" s="35"/>
      <c r="AL93" s="24">
        <v>0</v>
      </c>
      <c r="AM93" s="35"/>
      <c r="AN93" s="24">
        <f>2636665+1473872</f>
        <v>4110537</v>
      </c>
      <c r="AO93" s="35"/>
      <c r="AP93" s="35">
        <f t="shared" si="17"/>
        <v>1528737</v>
      </c>
      <c r="AQ93" s="35"/>
      <c r="AR93" s="35">
        <v>0</v>
      </c>
      <c r="AS93" s="35"/>
      <c r="AT93" s="35">
        <v>0</v>
      </c>
      <c r="AU93" s="35"/>
      <c r="AV93" s="35">
        <f t="shared" si="14"/>
        <v>15829683</v>
      </c>
      <c r="AW93" s="35"/>
      <c r="AX93" s="23" t="s">
        <v>80</v>
      </c>
      <c r="AY93" s="35"/>
      <c r="AZ93" s="24">
        <v>0</v>
      </c>
      <c r="BA93" s="35"/>
      <c r="BB93" s="24">
        <v>4626821</v>
      </c>
      <c r="BC93" s="35"/>
      <c r="BD93" s="24">
        <v>4370905</v>
      </c>
      <c r="BE93" s="35"/>
      <c r="BF93" s="24">
        <v>229619</v>
      </c>
      <c r="BG93" s="35"/>
      <c r="BH93" s="35"/>
      <c r="BI93" s="35"/>
      <c r="BJ93" s="17">
        <f t="shared" si="15"/>
        <v>9227345</v>
      </c>
    </row>
    <row r="94" spans="1:62" s="36" customFormat="1" ht="12" hidden="1">
      <c r="A94" s="23" t="s">
        <v>81</v>
      </c>
      <c r="B94" s="23"/>
      <c r="C94" s="35">
        <f t="shared" si="16"/>
        <v>0</v>
      </c>
      <c r="D94" s="35"/>
      <c r="E94" s="24">
        <v>0</v>
      </c>
      <c r="F94" s="35"/>
      <c r="G94" s="24">
        <v>0</v>
      </c>
      <c r="H94" s="35"/>
      <c r="I94" s="35">
        <f>+M94-K94</f>
        <v>0</v>
      </c>
      <c r="J94" s="35"/>
      <c r="K94" s="24">
        <v>0</v>
      </c>
      <c r="L94" s="35"/>
      <c r="M94" s="24">
        <v>0</v>
      </c>
      <c r="N94" s="35"/>
      <c r="O94" s="24">
        <v>0</v>
      </c>
      <c r="P94" s="35"/>
      <c r="Q94" s="24">
        <v>0</v>
      </c>
      <c r="R94" s="35"/>
      <c r="S94" s="24">
        <v>0</v>
      </c>
      <c r="T94" s="35"/>
      <c r="U94" s="35">
        <f t="shared" si="12"/>
        <v>0</v>
      </c>
      <c r="V94" s="35">
        <f t="shared" si="19"/>
        <v>0</v>
      </c>
      <c r="W94" s="35"/>
      <c r="X94" s="23" t="s">
        <v>81</v>
      </c>
      <c r="Y94" s="35"/>
      <c r="Z94" s="24">
        <v>0</v>
      </c>
      <c r="AA94" s="35"/>
      <c r="AB94" s="24">
        <v>0</v>
      </c>
      <c r="AC94" s="35"/>
      <c r="AD94" s="24">
        <v>0</v>
      </c>
      <c r="AE94" s="35"/>
      <c r="AF94" s="35">
        <f t="shared" si="13"/>
        <v>0</v>
      </c>
      <c r="AG94" s="35"/>
      <c r="AH94" s="24">
        <v>0</v>
      </c>
      <c r="AI94" s="35"/>
      <c r="AJ94" s="24">
        <v>0</v>
      </c>
      <c r="AK94" s="35"/>
      <c r="AL94" s="24">
        <v>0</v>
      </c>
      <c r="AM94" s="35"/>
      <c r="AN94" s="24">
        <v>0</v>
      </c>
      <c r="AO94" s="35"/>
      <c r="AP94" s="35">
        <f t="shared" si="17"/>
        <v>0</v>
      </c>
      <c r="AQ94" s="35"/>
      <c r="AR94" s="35">
        <v>0</v>
      </c>
      <c r="AS94" s="35"/>
      <c r="AT94" s="35">
        <v>0</v>
      </c>
      <c r="AU94" s="35"/>
      <c r="AV94" s="35">
        <f t="shared" si="14"/>
        <v>0</v>
      </c>
      <c r="AW94" s="35"/>
      <c r="AX94" s="23" t="s">
        <v>81</v>
      </c>
      <c r="AY94" s="35"/>
      <c r="AZ94" s="24">
        <v>0</v>
      </c>
      <c r="BA94" s="35"/>
      <c r="BB94" s="24">
        <v>0</v>
      </c>
      <c r="BC94" s="35"/>
      <c r="BD94" s="24">
        <v>0</v>
      </c>
      <c r="BE94" s="35"/>
      <c r="BF94" s="24">
        <v>0</v>
      </c>
      <c r="BG94" s="35"/>
      <c r="BH94" s="35"/>
      <c r="BI94" s="35"/>
      <c r="BJ94" s="17">
        <f t="shared" si="15"/>
        <v>0</v>
      </c>
    </row>
    <row r="95" spans="1:62" s="36" customFormat="1" ht="12" hidden="1">
      <c r="A95" s="23" t="s">
        <v>82</v>
      </c>
      <c r="B95" s="23"/>
      <c r="C95" s="35">
        <f t="shared" si="16"/>
        <v>0</v>
      </c>
      <c r="D95" s="35"/>
      <c r="E95" s="24">
        <v>0</v>
      </c>
      <c r="F95" s="35"/>
      <c r="G95" s="24">
        <v>0</v>
      </c>
      <c r="H95" s="35"/>
      <c r="I95" s="35">
        <f>+M95-K95</f>
        <v>0</v>
      </c>
      <c r="J95" s="35"/>
      <c r="K95" s="24">
        <v>0</v>
      </c>
      <c r="L95" s="35"/>
      <c r="M95" s="24">
        <v>0</v>
      </c>
      <c r="N95" s="35"/>
      <c r="O95" s="24">
        <v>0</v>
      </c>
      <c r="P95" s="35"/>
      <c r="Q95" s="24">
        <v>0</v>
      </c>
      <c r="R95" s="35"/>
      <c r="S95" s="24">
        <v>0</v>
      </c>
      <c r="T95" s="35"/>
      <c r="U95" s="35">
        <f t="shared" si="12"/>
        <v>0</v>
      </c>
      <c r="V95" s="35">
        <f t="shared" si="19"/>
        <v>0</v>
      </c>
      <c r="W95" s="35"/>
      <c r="X95" s="23" t="s">
        <v>82</v>
      </c>
      <c r="Y95" s="35"/>
      <c r="Z95" s="24">
        <v>0</v>
      </c>
      <c r="AA95" s="35"/>
      <c r="AB95" s="24">
        <v>0</v>
      </c>
      <c r="AC95" s="35"/>
      <c r="AD95" s="24">
        <v>0</v>
      </c>
      <c r="AE95" s="35"/>
      <c r="AF95" s="35">
        <f t="shared" si="13"/>
        <v>0</v>
      </c>
      <c r="AG95" s="35"/>
      <c r="AH95" s="24">
        <v>0</v>
      </c>
      <c r="AI95" s="35"/>
      <c r="AJ95" s="24">
        <v>0</v>
      </c>
      <c r="AK95" s="35"/>
      <c r="AL95" s="24">
        <v>0</v>
      </c>
      <c r="AM95" s="35"/>
      <c r="AN95" s="24">
        <v>0</v>
      </c>
      <c r="AO95" s="35"/>
      <c r="AP95" s="35">
        <f t="shared" si="17"/>
        <v>0</v>
      </c>
      <c r="AQ95" s="35"/>
      <c r="AR95" s="35">
        <v>0</v>
      </c>
      <c r="AS95" s="35"/>
      <c r="AT95" s="35">
        <v>0</v>
      </c>
      <c r="AU95" s="35"/>
      <c r="AV95" s="35">
        <f t="shared" si="14"/>
        <v>0</v>
      </c>
      <c r="AW95" s="35"/>
      <c r="AX95" s="23" t="s">
        <v>82</v>
      </c>
      <c r="AY95" s="35"/>
      <c r="AZ95" s="24">
        <v>0</v>
      </c>
      <c r="BA95" s="35"/>
      <c r="BB95" s="24">
        <v>0</v>
      </c>
      <c r="BC95" s="35"/>
      <c r="BD95" s="24">
        <v>0</v>
      </c>
      <c r="BE95" s="35"/>
      <c r="BF95" s="24">
        <v>0</v>
      </c>
      <c r="BG95" s="35"/>
      <c r="BH95" s="35"/>
      <c r="BI95" s="35"/>
      <c r="BJ95" s="17">
        <f t="shared" si="15"/>
        <v>0</v>
      </c>
    </row>
    <row r="96" spans="1:62" s="36" customFormat="1" ht="12" hidden="1">
      <c r="A96" s="23" t="s">
        <v>173</v>
      </c>
      <c r="B96" s="23"/>
      <c r="C96" s="35">
        <f>+G96-E96</f>
        <v>0</v>
      </c>
      <c r="D96" s="35"/>
      <c r="E96" s="24">
        <v>0</v>
      </c>
      <c r="F96" s="35"/>
      <c r="G96" s="24">
        <v>0</v>
      </c>
      <c r="H96" s="35"/>
      <c r="I96" s="35">
        <f>+M96-K96</f>
        <v>0</v>
      </c>
      <c r="J96" s="35"/>
      <c r="K96" s="24">
        <v>0</v>
      </c>
      <c r="L96" s="35"/>
      <c r="M96" s="24">
        <v>0</v>
      </c>
      <c r="N96" s="35"/>
      <c r="O96" s="24">
        <v>0</v>
      </c>
      <c r="P96" s="35"/>
      <c r="Q96" s="24">
        <v>0</v>
      </c>
      <c r="R96" s="35"/>
      <c r="S96" s="24">
        <v>0</v>
      </c>
      <c r="T96" s="35"/>
      <c r="U96" s="35">
        <f t="shared" si="12"/>
        <v>0</v>
      </c>
      <c r="V96" s="35">
        <f t="shared" si="19"/>
        <v>0</v>
      </c>
      <c r="W96" s="35"/>
      <c r="X96" s="23" t="s">
        <v>173</v>
      </c>
      <c r="Y96" s="35"/>
      <c r="Z96" s="35">
        <v>0</v>
      </c>
      <c r="AA96" s="35"/>
      <c r="AB96" s="35">
        <v>0</v>
      </c>
      <c r="AC96" s="35"/>
      <c r="AD96" s="35">
        <v>0</v>
      </c>
      <c r="AE96" s="35"/>
      <c r="AF96" s="35">
        <f t="shared" si="13"/>
        <v>0</v>
      </c>
      <c r="AG96" s="35"/>
      <c r="AH96" s="35">
        <v>0</v>
      </c>
      <c r="AI96" s="35"/>
      <c r="AJ96" s="35">
        <v>0</v>
      </c>
      <c r="AK96" s="35"/>
      <c r="AL96" s="35">
        <v>0</v>
      </c>
      <c r="AM96" s="35"/>
      <c r="AN96" s="35">
        <v>0</v>
      </c>
      <c r="AO96" s="35"/>
      <c r="AP96" s="35">
        <f>+AN96+AJ96+AH96+AF96-AL96</f>
        <v>0</v>
      </c>
      <c r="AQ96" s="35"/>
      <c r="AR96" s="35">
        <v>0</v>
      </c>
      <c r="AS96" s="35"/>
      <c r="AT96" s="35">
        <v>0</v>
      </c>
      <c r="AU96" s="35"/>
      <c r="AV96" s="35">
        <f t="shared" si="14"/>
        <v>0</v>
      </c>
      <c r="AW96" s="35"/>
      <c r="AX96" s="23" t="s">
        <v>173</v>
      </c>
      <c r="AY96" s="35"/>
      <c r="AZ96" s="35">
        <v>0</v>
      </c>
      <c r="BA96" s="35"/>
      <c r="BB96" s="35">
        <v>0</v>
      </c>
      <c r="BC96" s="35"/>
      <c r="BD96" s="35">
        <v>0</v>
      </c>
      <c r="BE96" s="35"/>
      <c r="BF96" s="35">
        <v>0</v>
      </c>
      <c r="BG96" s="35"/>
      <c r="BH96" s="35"/>
      <c r="BI96" s="35"/>
      <c r="BJ96" s="17">
        <f t="shared" si="15"/>
        <v>0</v>
      </c>
    </row>
    <row r="97" spans="1:62" s="36" customFormat="1" ht="12" hidden="1">
      <c r="A97" s="23" t="s">
        <v>83</v>
      </c>
      <c r="B97" s="23"/>
      <c r="C97" s="35">
        <f>+G97-E97</f>
        <v>0</v>
      </c>
      <c r="D97" s="35"/>
      <c r="E97" s="24">
        <v>0</v>
      </c>
      <c r="F97" s="35"/>
      <c r="G97" s="24">
        <v>0</v>
      </c>
      <c r="H97" s="35"/>
      <c r="I97" s="35">
        <f>+M97-K97</f>
        <v>0</v>
      </c>
      <c r="J97" s="35"/>
      <c r="K97" s="24">
        <v>0</v>
      </c>
      <c r="L97" s="35"/>
      <c r="M97" s="24">
        <v>0</v>
      </c>
      <c r="N97" s="35"/>
      <c r="O97" s="24">
        <v>0</v>
      </c>
      <c r="P97" s="35"/>
      <c r="Q97" s="24">
        <v>0</v>
      </c>
      <c r="R97" s="35"/>
      <c r="S97" s="24">
        <v>0</v>
      </c>
      <c r="T97" s="35"/>
      <c r="U97" s="35">
        <f t="shared" si="12"/>
        <v>0</v>
      </c>
      <c r="V97" s="35">
        <f t="shared" si="19"/>
        <v>0</v>
      </c>
      <c r="W97" s="35"/>
      <c r="X97" s="23" t="s">
        <v>83</v>
      </c>
      <c r="Y97" s="35"/>
      <c r="Z97" s="35">
        <v>0</v>
      </c>
      <c r="AA97" s="35"/>
      <c r="AB97" s="35">
        <v>0</v>
      </c>
      <c r="AC97" s="35"/>
      <c r="AD97" s="35">
        <v>0</v>
      </c>
      <c r="AE97" s="35"/>
      <c r="AF97" s="35">
        <f t="shared" si="13"/>
        <v>0</v>
      </c>
      <c r="AG97" s="35"/>
      <c r="AH97" s="35">
        <v>0</v>
      </c>
      <c r="AI97" s="35"/>
      <c r="AJ97" s="35">
        <v>0</v>
      </c>
      <c r="AK97" s="35"/>
      <c r="AL97" s="35">
        <v>0</v>
      </c>
      <c r="AM97" s="35"/>
      <c r="AN97" s="35">
        <v>0</v>
      </c>
      <c r="AO97" s="35"/>
      <c r="AP97" s="35">
        <f>+AN97+AJ97+AH97+AF97-AL97</f>
        <v>0</v>
      </c>
      <c r="AQ97" s="35"/>
      <c r="AR97" s="35">
        <v>0</v>
      </c>
      <c r="AS97" s="35"/>
      <c r="AT97" s="35">
        <v>0</v>
      </c>
      <c r="AU97" s="35"/>
      <c r="AV97" s="35">
        <f t="shared" si="14"/>
        <v>0</v>
      </c>
      <c r="AW97" s="35"/>
      <c r="AX97" s="23" t="s">
        <v>83</v>
      </c>
      <c r="AY97" s="35"/>
      <c r="AZ97" s="35">
        <v>0</v>
      </c>
      <c r="BA97" s="35"/>
      <c r="BB97" s="35">
        <v>0</v>
      </c>
      <c r="BC97" s="35"/>
      <c r="BD97" s="35">
        <v>0</v>
      </c>
      <c r="BE97" s="35"/>
      <c r="BF97" s="35">
        <v>0</v>
      </c>
      <c r="BG97" s="35"/>
      <c r="BH97" s="35"/>
      <c r="BI97" s="35"/>
      <c r="BJ97" s="17">
        <f t="shared" si="15"/>
        <v>0</v>
      </c>
    </row>
    <row r="98" spans="1:62" s="36" customFormat="1" ht="12" hidden="1">
      <c r="A98" s="23" t="s">
        <v>174</v>
      </c>
      <c r="B98" s="23"/>
      <c r="C98" s="35">
        <v>0</v>
      </c>
      <c r="D98" s="35"/>
      <c r="E98" s="24">
        <v>0</v>
      </c>
      <c r="F98" s="35"/>
      <c r="G98" s="24">
        <v>0</v>
      </c>
      <c r="H98" s="35"/>
      <c r="I98" s="35">
        <v>0</v>
      </c>
      <c r="J98" s="35"/>
      <c r="K98" s="24">
        <v>0</v>
      </c>
      <c r="L98" s="35"/>
      <c r="M98" s="24">
        <v>0</v>
      </c>
      <c r="N98" s="35"/>
      <c r="O98" s="24">
        <v>0</v>
      </c>
      <c r="P98" s="35"/>
      <c r="Q98" s="24">
        <v>0</v>
      </c>
      <c r="R98" s="35"/>
      <c r="S98" s="24">
        <v>0</v>
      </c>
      <c r="T98" s="35"/>
      <c r="U98" s="35">
        <v>0</v>
      </c>
      <c r="V98" s="35"/>
      <c r="W98" s="35"/>
      <c r="X98" s="35"/>
      <c r="Y98" s="35"/>
      <c r="Z98" s="35">
        <v>0</v>
      </c>
      <c r="AA98" s="35"/>
      <c r="AB98" s="35">
        <v>0</v>
      </c>
      <c r="AC98" s="35"/>
      <c r="AD98" s="35">
        <v>0</v>
      </c>
      <c r="AE98" s="35"/>
      <c r="AF98" s="35">
        <v>0</v>
      </c>
      <c r="AG98" s="35"/>
      <c r="AH98" s="35">
        <v>0</v>
      </c>
      <c r="AI98" s="35"/>
      <c r="AJ98" s="35">
        <v>0</v>
      </c>
      <c r="AK98" s="35"/>
      <c r="AL98" s="35">
        <v>0</v>
      </c>
      <c r="AM98" s="35"/>
      <c r="AN98" s="35">
        <v>0</v>
      </c>
      <c r="AO98" s="35"/>
      <c r="AP98" s="35">
        <v>0</v>
      </c>
      <c r="AQ98" s="35"/>
      <c r="AR98" s="35">
        <v>0</v>
      </c>
      <c r="AS98" s="35"/>
      <c r="AT98" s="35">
        <v>0</v>
      </c>
      <c r="AU98" s="35"/>
      <c r="AV98" s="35">
        <v>0</v>
      </c>
      <c r="AW98" s="35"/>
      <c r="AX98" s="35"/>
      <c r="AY98" s="35"/>
      <c r="AZ98" s="35">
        <v>0</v>
      </c>
      <c r="BA98" s="35"/>
      <c r="BB98" s="35">
        <v>0</v>
      </c>
      <c r="BC98" s="35"/>
      <c r="BD98" s="35">
        <v>0</v>
      </c>
      <c r="BE98" s="35"/>
      <c r="BF98" s="35">
        <v>0</v>
      </c>
      <c r="BG98" s="35"/>
      <c r="BH98" s="35"/>
      <c r="BI98" s="35"/>
      <c r="BJ98" s="17">
        <f>SUM(AZ98:BF98)+BH98</f>
        <v>0</v>
      </c>
    </row>
    <row r="99" spans="1:39" s="36" customFormat="1" ht="12">
      <c r="A99" s="23"/>
      <c r="B99" s="23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68"/>
      <c r="AC99" s="68"/>
      <c r="AD99" s="68"/>
      <c r="AE99" s="68"/>
      <c r="AF99" s="78"/>
      <c r="AG99" s="78"/>
      <c r="AH99" s="78"/>
      <c r="AI99" s="78"/>
      <c r="AJ99" s="78"/>
      <c r="AK99" s="78"/>
      <c r="AL99" s="78"/>
      <c r="AM99" s="78"/>
    </row>
    <row r="100" spans="3:31" ht="12.75"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84"/>
      <c r="AC100" s="84"/>
      <c r="AD100" s="84"/>
      <c r="AE100" s="84"/>
    </row>
    <row r="101" spans="3:31" ht="12.75"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84"/>
      <c r="AC101" s="84"/>
      <c r="AD101" s="84"/>
      <c r="AE101" s="84"/>
    </row>
    <row r="102" spans="3:31" ht="12.75"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84"/>
      <c r="AC102" s="84"/>
      <c r="AD102" s="84"/>
      <c r="AE102" s="84"/>
    </row>
    <row r="103" spans="3:31" ht="12.75"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84"/>
      <c r="AC103" s="84"/>
      <c r="AD103" s="84"/>
      <c r="AE103" s="84"/>
    </row>
    <row r="104" spans="3:31" ht="12.75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84"/>
      <c r="AC104" s="84"/>
      <c r="AD104" s="84"/>
      <c r="AE104" s="84"/>
    </row>
    <row r="105" spans="3:31" ht="12.75"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84"/>
      <c r="AC105" s="84"/>
      <c r="AD105" s="84"/>
      <c r="AE105" s="84"/>
    </row>
    <row r="106" spans="3:31" ht="12.75"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84"/>
      <c r="AC106" s="84"/>
      <c r="AD106" s="84"/>
      <c r="AE106" s="84"/>
    </row>
    <row r="107" spans="3:31" ht="12.75"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84"/>
      <c r="AC107" s="84"/>
      <c r="AD107" s="84"/>
      <c r="AE107" s="84"/>
    </row>
    <row r="108" spans="3:31" ht="12.75"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84"/>
      <c r="AC108" s="84"/>
      <c r="AD108" s="84"/>
      <c r="AE108" s="84"/>
    </row>
    <row r="109" spans="3:31" ht="12.75"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84"/>
      <c r="AC109" s="84"/>
      <c r="AD109" s="84"/>
      <c r="AE109" s="84"/>
    </row>
    <row r="110" spans="3:31" ht="12.75"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84"/>
      <c r="AC110" s="84"/>
      <c r="AD110" s="84"/>
      <c r="AE110" s="84"/>
    </row>
    <row r="111" spans="3:31" ht="12.75"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84"/>
      <c r="AC111" s="84"/>
      <c r="AD111" s="84"/>
      <c r="AE111" s="84"/>
    </row>
    <row r="112" spans="3:31" ht="12.75"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84"/>
      <c r="AC112" s="84"/>
      <c r="AD112" s="84"/>
      <c r="AE112" s="84"/>
    </row>
    <row r="113" spans="3:31" ht="12.75"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84"/>
      <c r="AC113" s="84"/>
      <c r="AD113" s="84"/>
      <c r="AE113" s="84"/>
    </row>
    <row r="114" spans="3:31" ht="12.75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84"/>
      <c r="AC114" s="84"/>
      <c r="AD114" s="84"/>
      <c r="AE114" s="84"/>
    </row>
    <row r="115" spans="3:31" ht="12.75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84"/>
      <c r="AC115" s="84"/>
      <c r="AD115" s="84"/>
      <c r="AE115" s="84"/>
    </row>
  </sheetData>
  <sheetProtection/>
  <printOptions/>
  <pageMargins left="1" right="1" top="0.5" bottom="0.5" header="0" footer="0.25"/>
  <pageSetup firstPageNumber="40" useFirstPageNumber="1" horizontalDpi="600" verticalDpi="600" orientation="portrait" r:id="rId1"/>
  <headerFooter scaleWithDoc="0" alignWithMargins="0">
    <oddFooter>&amp;C&amp;"Times New Roman,Regular"&amp;11&amp;P</oddFooter>
  </headerFooter>
  <colBreaks count="2" manualBreakCount="2">
    <brk id="21" max="97" man="1"/>
    <brk id="49" max="9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W134"/>
  <sheetViews>
    <sheetView zoomScale="120" zoomScaleNormal="120" zoomScaleSheetLayoutView="75" zoomScalePageLayoutView="0" workbookViewId="0" topLeftCell="A1">
      <pane xSplit="1" ySplit="9" topLeftCell="B10" activePane="bottomRight" state="frozen"/>
      <selection pane="topLeft" activeCell="AX17" sqref="AX17"/>
      <selection pane="topRight" activeCell="AX17" sqref="AX17"/>
      <selection pane="bottomLeft" activeCell="AX17" sqref="AX17"/>
      <selection pane="bottomRight" activeCell="F79" sqref="F79"/>
    </sheetView>
  </sheetViews>
  <sheetFormatPr defaultColWidth="8.421875" defaultRowHeight="12.75"/>
  <cols>
    <col min="1" max="1" width="17.8515625" style="114" customWidth="1"/>
    <col min="2" max="2" width="1.7109375" style="114" customWidth="1"/>
    <col min="3" max="3" width="12.7109375" style="114" customWidth="1"/>
    <col min="4" max="4" width="1.7109375" style="114" customWidth="1"/>
    <col min="5" max="5" width="12.7109375" style="114" customWidth="1"/>
    <col min="6" max="6" width="1.7109375" style="114" customWidth="1"/>
    <col min="7" max="7" width="12.7109375" style="114" customWidth="1"/>
    <col min="8" max="8" width="1.7109375" style="114" customWidth="1"/>
    <col min="9" max="9" width="12.7109375" style="114" customWidth="1"/>
    <col min="10" max="10" width="1.7109375" style="114" customWidth="1"/>
    <col min="11" max="11" width="12.7109375" style="114" customWidth="1"/>
    <col min="12" max="12" width="1.7109375" style="114" hidden="1" customWidth="1"/>
    <col min="13" max="13" width="11.7109375" style="114" customWidth="1"/>
    <col min="14" max="14" width="1.7109375" style="114" customWidth="1"/>
    <col min="15" max="15" width="11.7109375" style="114" customWidth="1"/>
    <col min="16" max="16" width="1.7109375" style="114" customWidth="1"/>
    <col min="17" max="17" width="11.7109375" style="114" customWidth="1"/>
    <col min="18" max="18" width="1.7109375" style="114" customWidth="1"/>
    <col min="19" max="19" width="11.7109375" style="114" customWidth="1"/>
    <col min="20" max="20" width="1.7109375" style="114" customWidth="1"/>
    <col min="21" max="21" width="11.7109375" style="114" customWidth="1"/>
    <col min="22" max="22" width="1.7109375" style="114" hidden="1" customWidth="1"/>
    <col min="23" max="23" width="11.7109375" style="114" hidden="1" customWidth="1"/>
    <col min="24" max="24" width="1.7109375" style="114" hidden="1" customWidth="1"/>
    <col min="25" max="25" width="17.8515625" style="114" customWidth="1"/>
    <col min="26" max="26" width="1.7109375" style="114" customWidth="1"/>
    <col min="27" max="27" width="12.8515625" style="114" customWidth="1"/>
    <col min="28" max="28" width="1.7109375" style="114" customWidth="1"/>
    <col min="29" max="29" width="12.57421875" style="114" customWidth="1"/>
    <col min="30" max="30" width="1.7109375" style="114" customWidth="1"/>
    <col min="31" max="31" width="12.8515625" style="114" customWidth="1"/>
    <col min="32" max="32" width="1.7109375" style="114" customWidth="1"/>
    <col min="33" max="33" width="12.7109375" style="114" customWidth="1"/>
    <col min="34" max="34" width="1.7109375" style="117" customWidth="1"/>
    <col min="35" max="35" width="12.8515625" style="117" customWidth="1"/>
    <col min="36" max="36" width="1.7109375" style="117" hidden="1" customWidth="1"/>
    <col min="37" max="37" width="10.7109375" style="117" customWidth="1"/>
    <col min="38" max="38" width="1.7109375" style="117" customWidth="1"/>
    <col min="39" max="39" width="10.7109375" style="117" customWidth="1"/>
    <col min="40" max="40" width="1.7109375" style="117" customWidth="1"/>
    <col min="41" max="41" width="10.7109375" style="82" customWidth="1"/>
    <col min="42" max="42" width="1.7109375" style="82" customWidth="1"/>
    <col min="43" max="43" width="11.7109375" style="114" customWidth="1"/>
    <col min="44" max="44" width="1.7109375" style="82" customWidth="1"/>
    <col min="45" max="45" width="10.7109375" style="82" hidden="1" customWidth="1"/>
    <col min="46" max="46" width="1.7109375" style="82" hidden="1" customWidth="1"/>
    <col min="47" max="47" width="10.7109375" style="82" hidden="1" customWidth="1"/>
    <col min="48" max="48" width="1.7109375" style="82" hidden="1" customWidth="1"/>
    <col min="49" max="49" width="11.7109375" style="114" customWidth="1"/>
    <col min="50" max="50" width="1.7109375" style="82" hidden="1" customWidth="1"/>
    <col min="51" max="51" width="18.00390625" style="114" customWidth="1"/>
    <col min="52" max="52" width="1.7109375" style="82" customWidth="1"/>
    <col min="53" max="53" width="12.8515625" style="82" customWidth="1"/>
    <col min="54" max="54" width="1.7109375" style="82" customWidth="1"/>
    <col min="55" max="55" width="12.8515625" style="82" customWidth="1"/>
    <col min="56" max="56" width="1.7109375" style="82" customWidth="1"/>
    <col min="57" max="57" width="12.8515625" style="82" customWidth="1"/>
    <col min="58" max="58" width="1.7109375" style="82" customWidth="1"/>
    <col min="59" max="59" width="12.8515625" style="82" customWidth="1"/>
    <col min="60" max="60" width="1.7109375" style="82" customWidth="1"/>
    <col min="61" max="61" width="10.7109375" style="82" hidden="1" customWidth="1"/>
    <col min="62" max="62" width="1.7109375" style="82" hidden="1" customWidth="1"/>
    <col min="63" max="63" width="12.7109375" style="114" customWidth="1"/>
    <col min="64" max="64" width="9.28125" style="82" bestFit="1" customWidth="1"/>
    <col min="65" max="65" width="9.421875" style="82" bestFit="1" customWidth="1"/>
    <col min="66" max="16384" width="8.421875" style="82" customWidth="1"/>
  </cols>
  <sheetData>
    <row r="1" spans="1:65" s="110" customFormat="1" ht="12.75">
      <c r="A1" s="107" t="s">
        <v>195</v>
      </c>
      <c r="B1" s="107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5" t="s">
        <v>195</v>
      </c>
      <c r="Z1" s="106"/>
      <c r="AA1" s="106"/>
      <c r="AB1" s="106"/>
      <c r="AC1" s="85"/>
      <c r="AD1" s="85"/>
      <c r="AE1" s="85"/>
      <c r="AF1" s="85"/>
      <c r="AG1" s="106"/>
      <c r="AH1" s="85"/>
      <c r="AI1" s="85"/>
      <c r="AJ1" s="85"/>
      <c r="AK1" s="85"/>
      <c r="AL1" s="85"/>
      <c r="AM1" s="85"/>
      <c r="AN1" s="85"/>
      <c r="AO1" s="109"/>
      <c r="AP1" s="109"/>
      <c r="AQ1" s="106"/>
      <c r="AR1" s="109"/>
      <c r="AS1" s="109"/>
      <c r="AT1" s="109"/>
      <c r="AU1" s="109"/>
      <c r="AV1" s="109"/>
      <c r="AW1" s="106"/>
      <c r="AX1" s="109"/>
      <c r="AY1" s="107" t="s">
        <v>195</v>
      </c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6"/>
      <c r="BL1" s="109"/>
      <c r="BM1" s="109"/>
    </row>
    <row r="2" spans="1:65" s="110" customFormat="1" ht="12.75">
      <c r="A2" s="63" t="s">
        <v>136</v>
      </c>
      <c r="B2" s="107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63" t="s">
        <v>248</v>
      </c>
      <c r="Z2" s="106"/>
      <c r="AA2" s="106"/>
      <c r="AB2" s="106"/>
      <c r="AC2" s="85"/>
      <c r="AD2" s="85"/>
      <c r="AE2" s="85"/>
      <c r="AF2" s="85"/>
      <c r="AG2" s="106"/>
      <c r="AH2" s="85"/>
      <c r="AI2" s="85"/>
      <c r="AJ2" s="85"/>
      <c r="AK2" s="85"/>
      <c r="AL2" s="85"/>
      <c r="AM2" s="85"/>
      <c r="AN2" s="85"/>
      <c r="AO2" s="109"/>
      <c r="AP2" s="109"/>
      <c r="AQ2" s="106"/>
      <c r="AR2" s="109"/>
      <c r="AS2" s="109"/>
      <c r="AT2" s="109"/>
      <c r="AU2" s="109"/>
      <c r="AV2" s="109"/>
      <c r="AW2" s="106"/>
      <c r="AX2" s="109"/>
      <c r="AY2" s="107" t="s">
        <v>102</v>
      </c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6"/>
      <c r="BL2" s="109"/>
      <c r="BM2" s="109"/>
    </row>
    <row r="3" spans="1:64" s="110" customFormat="1" ht="12.75">
      <c r="A3" s="63" t="s">
        <v>251</v>
      </c>
      <c r="B3" s="10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57" t="s">
        <v>251</v>
      </c>
      <c r="Z3" s="106"/>
      <c r="AA3" s="106"/>
      <c r="AB3" s="106"/>
      <c r="AC3" s="85"/>
      <c r="AD3" s="85"/>
      <c r="AE3" s="85"/>
      <c r="AF3" s="85"/>
      <c r="AG3" s="106"/>
      <c r="AH3" s="85"/>
      <c r="AI3" s="85"/>
      <c r="AJ3" s="85"/>
      <c r="AK3" s="85"/>
      <c r="AL3" s="85"/>
      <c r="AM3" s="85"/>
      <c r="AN3" s="85"/>
      <c r="AO3" s="109"/>
      <c r="AP3" s="109"/>
      <c r="AQ3" s="106"/>
      <c r="AR3" s="109"/>
      <c r="AS3" s="109"/>
      <c r="AT3" s="109"/>
      <c r="AU3" s="109"/>
      <c r="AV3" s="109"/>
      <c r="AW3" s="106"/>
      <c r="AX3" s="109"/>
      <c r="AY3" s="63" t="s">
        <v>251</v>
      </c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6"/>
      <c r="BL3" s="109"/>
    </row>
    <row r="4" spans="1:64" ht="12.75">
      <c r="A4" s="90"/>
      <c r="B4" s="90"/>
      <c r="C4" s="111"/>
      <c r="D4" s="111"/>
      <c r="E4" s="111"/>
      <c r="F4" s="111"/>
      <c r="G4" s="111"/>
      <c r="H4" s="111"/>
      <c r="I4" s="111"/>
      <c r="J4" s="99"/>
      <c r="K4" s="111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12"/>
      <c r="Z4" s="99"/>
      <c r="AA4" s="99"/>
      <c r="AB4" s="99"/>
      <c r="AC4" s="85"/>
      <c r="AD4" s="85"/>
      <c r="AE4" s="85"/>
      <c r="AF4" s="85"/>
      <c r="AG4" s="111"/>
      <c r="AH4" s="85"/>
      <c r="AI4" s="85"/>
      <c r="AJ4" s="85"/>
      <c r="AK4" s="85"/>
      <c r="AL4" s="85"/>
      <c r="AM4" s="85"/>
      <c r="AN4" s="85"/>
      <c r="AO4" s="79"/>
      <c r="AP4" s="79"/>
      <c r="AQ4" s="111"/>
      <c r="AR4" s="79"/>
      <c r="AS4" s="79"/>
      <c r="AT4" s="79"/>
      <c r="AU4" s="79"/>
      <c r="AV4" s="79"/>
      <c r="AW4" s="111"/>
      <c r="AX4" s="79"/>
      <c r="AY4" s="90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111"/>
      <c r="BL4" s="79"/>
    </row>
    <row r="5" spans="1:64" ht="12.75">
      <c r="A5" s="57" t="s">
        <v>183</v>
      </c>
      <c r="B5" s="11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57" t="s">
        <v>183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57" t="s">
        <v>183</v>
      </c>
      <c r="AZ5" s="21"/>
      <c r="BJ5" s="51"/>
      <c r="BK5" s="21"/>
      <c r="BL5" s="79"/>
    </row>
    <row r="6" spans="1:64" ht="12.75">
      <c r="A6" s="57"/>
      <c r="B6" s="113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0" t="s">
        <v>137</v>
      </c>
      <c r="P6" s="50"/>
      <c r="Q6" s="50"/>
      <c r="R6" s="50"/>
      <c r="S6" s="50"/>
      <c r="T6" s="50"/>
      <c r="U6" s="50"/>
      <c r="V6" s="21"/>
      <c r="W6" s="21"/>
      <c r="X6" s="21"/>
      <c r="Y6" s="57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57"/>
      <c r="AZ6" s="21"/>
      <c r="BA6" s="50" t="s">
        <v>102</v>
      </c>
      <c r="BB6" s="50"/>
      <c r="BC6" s="50"/>
      <c r="BD6" s="50"/>
      <c r="BE6" s="50"/>
      <c r="BF6" s="50"/>
      <c r="BG6" s="50"/>
      <c r="BH6" s="51"/>
      <c r="BI6" s="51"/>
      <c r="BJ6" s="51"/>
      <c r="BK6" s="21"/>
      <c r="BL6" s="79"/>
    </row>
    <row r="7" spans="1:64" ht="12.75">
      <c r="A7" s="113"/>
      <c r="B7" s="11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U7" s="21" t="s">
        <v>4</v>
      </c>
      <c r="V7" s="108" t="s">
        <v>193</v>
      </c>
      <c r="W7" s="51"/>
      <c r="X7" s="51"/>
      <c r="Y7" s="113"/>
      <c r="Z7" s="51"/>
      <c r="AA7" s="21"/>
      <c r="AB7" s="21"/>
      <c r="AC7" s="21"/>
      <c r="AD7" s="21"/>
      <c r="AE7" s="21"/>
      <c r="AF7" s="21"/>
      <c r="AG7" s="21"/>
      <c r="AH7" s="21"/>
      <c r="AI7" s="21" t="s">
        <v>157</v>
      </c>
      <c r="AJ7" s="21"/>
      <c r="AK7" s="21"/>
      <c r="AL7" s="21"/>
      <c r="AM7" s="21"/>
      <c r="AN7" s="21"/>
      <c r="AO7" s="21"/>
      <c r="AP7" s="21"/>
      <c r="AQ7" s="21"/>
      <c r="AR7" s="21"/>
      <c r="AS7" s="21" t="s">
        <v>154</v>
      </c>
      <c r="AT7" s="21"/>
      <c r="AU7" s="21" t="s">
        <v>154</v>
      </c>
      <c r="AV7" s="21"/>
      <c r="AW7" s="21"/>
      <c r="AX7" s="21"/>
      <c r="AY7" s="113"/>
      <c r="AZ7" s="21"/>
      <c r="BA7" s="21" t="s">
        <v>103</v>
      </c>
      <c r="BB7" s="21"/>
      <c r="BC7" s="21" t="s">
        <v>104</v>
      </c>
      <c r="BD7" s="21"/>
      <c r="BE7" s="21"/>
      <c r="BF7" s="21"/>
      <c r="BG7" s="21" t="s">
        <v>105</v>
      </c>
      <c r="BH7" s="21"/>
      <c r="BI7" s="21" t="s">
        <v>190</v>
      </c>
      <c r="BJ7" s="21"/>
      <c r="BK7" s="21" t="s">
        <v>4</v>
      </c>
      <c r="BL7" s="79"/>
    </row>
    <row r="8" spans="1:64" ht="12.75">
      <c r="A8" s="113"/>
      <c r="B8" s="113"/>
      <c r="C8" s="21" t="s">
        <v>134</v>
      </c>
      <c r="D8" s="21"/>
      <c r="E8" s="21" t="s">
        <v>155</v>
      </c>
      <c r="F8" s="21"/>
      <c r="G8" s="21" t="s">
        <v>4</v>
      </c>
      <c r="H8" s="21"/>
      <c r="I8" s="21" t="s">
        <v>134</v>
      </c>
      <c r="J8" s="21"/>
      <c r="K8" s="21" t="s">
        <v>155</v>
      </c>
      <c r="L8" s="21"/>
      <c r="M8" s="21" t="s">
        <v>4</v>
      </c>
      <c r="N8" s="21"/>
      <c r="O8" s="21" t="s">
        <v>138</v>
      </c>
      <c r="P8" s="21"/>
      <c r="Q8" s="21"/>
      <c r="R8" s="21"/>
      <c r="S8" s="21"/>
      <c r="T8" s="21"/>
      <c r="U8" s="21" t="s">
        <v>231</v>
      </c>
      <c r="V8" s="21"/>
      <c r="W8" s="21"/>
      <c r="X8" s="21"/>
      <c r="Y8" s="113"/>
      <c r="Z8" s="21"/>
      <c r="AA8" s="21" t="s">
        <v>101</v>
      </c>
      <c r="AB8" s="21"/>
      <c r="AC8" s="21" t="s">
        <v>156</v>
      </c>
      <c r="AD8" s="21"/>
      <c r="AE8" s="21"/>
      <c r="AF8" s="21"/>
      <c r="AG8" s="21" t="s">
        <v>101</v>
      </c>
      <c r="AH8" s="21"/>
      <c r="AI8" s="21" t="s">
        <v>12</v>
      </c>
      <c r="AJ8" s="21"/>
      <c r="AK8" s="21"/>
      <c r="AL8" s="21"/>
      <c r="AM8" s="21"/>
      <c r="AN8" s="21"/>
      <c r="AO8" s="21" t="s">
        <v>87</v>
      </c>
      <c r="AP8" s="21"/>
      <c r="AQ8" s="21" t="s">
        <v>230</v>
      </c>
      <c r="AR8" s="21"/>
      <c r="AS8" s="21" t="s">
        <v>158</v>
      </c>
      <c r="AT8" s="21"/>
      <c r="AU8" s="21" t="s">
        <v>158</v>
      </c>
      <c r="AV8" s="21"/>
      <c r="AW8" s="21" t="s">
        <v>106</v>
      </c>
      <c r="AX8" s="21"/>
      <c r="AY8" s="113"/>
      <c r="AZ8" s="21"/>
      <c r="BA8" s="21" t="s">
        <v>107</v>
      </c>
      <c r="BB8" s="21"/>
      <c r="BC8" s="21" t="s">
        <v>12</v>
      </c>
      <c r="BD8" s="21"/>
      <c r="BE8" s="21"/>
      <c r="BF8" s="21"/>
      <c r="BG8" s="21" t="s">
        <v>108</v>
      </c>
      <c r="BH8" s="21"/>
      <c r="BI8" s="21" t="s">
        <v>191</v>
      </c>
      <c r="BJ8" s="21"/>
      <c r="BK8" s="21" t="s">
        <v>108</v>
      </c>
      <c r="BL8" s="79"/>
    </row>
    <row r="9" spans="1:64" ht="12.75">
      <c r="A9" s="115" t="s">
        <v>5</v>
      </c>
      <c r="B9" s="79"/>
      <c r="C9" s="20" t="s">
        <v>116</v>
      </c>
      <c r="D9" s="79"/>
      <c r="E9" s="20" t="s">
        <v>116</v>
      </c>
      <c r="F9" s="79"/>
      <c r="G9" s="20" t="s">
        <v>116</v>
      </c>
      <c r="H9" s="79"/>
      <c r="I9" s="20" t="s">
        <v>121</v>
      </c>
      <c r="J9" s="79"/>
      <c r="K9" s="20" t="s">
        <v>121</v>
      </c>
      <c r="L9" s="79"/>
      <c r="M9" s="20" t="s">
        <v>121</v>
      </c>
      <c r="N9" s="79"/>
      <c r="O9" s="20" t="s">
        <v>140</v>
      </c>
      <c r="P9" s="79"/>
      <c r="Q9" s="20" t="s">
        <v>141</v>
      </c>
      <c r="R9" s="79"/>
      <c r="S9" s="20" t="s">
        <v>142</v>
      </c>
      <c r="T9" s="79"/>
      <c r="U9" s="20" t="s">
        <v>116</v>
      </c>
      <c r="V9" s="79"/>
      <c r="W9" s="20"/>
      <c r="X9" s="20"/>
      <c r="Y9" s="115" t="s">
        <v>5</v>
      </c>
      <c r="Z9" s="79"/>
      <c r="AA9" s="20" t="s">
        <v>12</v>
      </c>
      <c r="AB9" s="79"/>
      <c r="AC9" s="20" t="s">
        <v>109</v>
      </c>
      <c r="AD9" s="79"/>
      <c r="AE9" s="20" t="s">
        <v>109</v>
      </c>
      <c r="AF9" s="79"/>
      <c r="AG9" s="20" t="s">
        <v>110</v>
      </c>
      <c r="AH9" s="79"/>
      <c r="AI9" s="20" t="s">
        <v>229</v>
      </c>
      <c r="AJ9" s="79"/>
      <c r="AK9" s="20" t="s">
        <v>111</v>
      </c>
      <c r="AL9" s="79"/>
      <c r="AM9" s="20" t="s">
        <v>112</v>
      </c>
      <c r="AN9" s="79"/>
      <c r="AO9" s="20" t="s">
        <v>160</v>
      </c>
      <c r="AP9" s="79"/>
      <c r="AQ9" s="20" t="s">
        <v>137</v>
      </c>
      <c r="AR9" s="79"/>
      <c r="AS9" s="20" t="s">
        <v>161</v>
      </c>
      <c r="AT9" s="79"/>
      <c r="AU9" s="20" t="s">
        <v>162</v>
      </c>
      <c r="AV9" s="79"/>
      <c r="AW9" s="20" t="s">
        <v>87</v>
      </c>
      <c r="AX9" s="79"/>
      <c r="AY9" s="115" t="s">
        <v>5</v>
      </c>
      <c r="AZ9" s="79"/>
      <c r="BA9" s="20" t="s">
        <v>113</v>
      </c>
      <c r="BB9" s="79"/>
      <c r="BC9" s="20" t="s">
        <v>113</v>
      </c>
      <c r="BD9" s="79"/>
      <c r="BE9" s="20" t="s">
        <v>114</v>
      </c>
      <c r="BF9" s="79"/>
      <c r="BG9" s="20" t="s">
        <v>115</v>
      </c>
      <c r="BH9" s="79"/>
      <c r="BI9" s="20" t="s">
        <v>192</v>
      </c>
      <c r="BJ9" s="20"/>
      <c r="BK9" s="20" t="s">
        <v>121</v>
      </c>
      <c r="BL9" s="79"/>
    </row>
    <row r="10" spans="1:64" ht="12.75">
      <c r="A10" s="113"/>
      <c r="B10" s="79"/>
      <c r="C10" s="21"/>
      <c r="D10" s="79"/>
      <c r="E10" s="21"/>
      <c r="F10" s="79"/>
      <c r="G10" s="21"/>
      <c r="H10" s="79"/>
      <c r="I10" s="21"/>
      <c r="J10" s="79"/>
      <c r="K10" s="21"/>
      <c r="L10" s="79"/>
      <c r="M10" s="21"/>
      <c r="N10" s="79"/>
      <c r="O10" s="21"/>
      <c r="P10" s="79"/>
      <c r="Q10" s="21"/>
      <c r="R10" s="79"/>
      <c r="S10" s="21"/>
      <c r="T10" s="79"/>
      <c r="U10" s="21"/>
      <c r="V10" s="79"/>
      <c r="W10" s="21"/>
      <c r="X10" s="21"/>
      <c r="Y10" s="113"/>
      <c r="Z10" s="79"/>
      <c r="AA10" s="21"/>
      <c r="AB10" s="79"/>
      <c r="AC10" s="21"/>
      <c r="AD10" s="79"/>
      <c r="AE10" s="21"/>
      <c r="AF10" s="79"/>
      <c r="AG10" s="21"/>
      <c r="AH10" s="79"/>
      <c r="AI10" s="21"/>
      <c r="AJ10" s="79"/>
      <c r="AK10" s="21"/>
      <c r="AL10" s="79"/>
      <c r="AM10" s="21"/>
      <c r="AN10" s="79"/>
      <c r="AO10" s="21"/>
      <c r="AP10" s="79"/>
      <c r="AQ10" s="21"/>
      <c r="AR10" s="79"/>
      <c r="AS10" s="21"/>
      <c r="AT10" s="79"/>
      <c r="AU10" s="21"/>
      <c r="AV10" s="79"/>
      <c r="AW10" s="21"/>
      <c r="AX10" s="79"/>
      <c r="AY10" s="113"/>
      <c r="AZ10" s="79"/>
      <c r="BA10" s="21"/>
      <c r="BB10" s="79"/>
      <c r="BC10" s="21"/>
      <c r="BD10" s="79"/>
      <c r="BE10" s="21"/>
      <c r="BF10" s="79"/>
      <c r="BG10" s="21"/>
      <c r="BH10" s="79"/>
      <c r="BI10" s="21"/>
      <c r="BJ10" s="21"/>
      <c r="BK10" s="21"/>
      <c r="BL10" s="79"/>
    </row>
    <row r="11" spans="1:73" ht="12.75" hidden="1">
      <c r="A11" s="90" t="s">
        <v>235</v>
      </c>
      <c r="B11" s="79"/>
      <c r="C11" s="74">
        <f>+G11-E11</f>
        <v>0</v>
      </c>
      <c r="D11" s="74"/>
      <c r="E11" s="74"/>
      <c r="F11" s="74"/>
      <c r="G11" s="74"/>
      <c r="H11" s="74"/>
      <c r="I11" s="74">
        <f>M11-K11</f>
        <v>0</v>
      </c>
      <c r="J11" s="74"/>
      <c r="K11" s="74">
        <f>SUM(BK11)</f>
        <v>0</v>
      </c>
      <c r="L11" s="74"/>
      <c r="M11" s="74"/>
      <c r="N11" s="74"/>
      <c r="O11" s="74"/>
      <c r="P11" s="74"/>
      <c r="Q11" s="74"/>
      <c r="R11" s="74"/>
      <c r="S11" s="74"/>
      <c r="T11" s="74"/>
      <c r="U11" s="74">
        <f>SUM(O11:S11)</f>
        <v>0</v>
      </c>
      <c r="V11" s="35"/>
      <c r="W11" s="35"/>
      <c r="X11" s="35"/>
      <c r="Y11" s="77" t="s">
        <v>235</v>
      </c>
      <c r="Z11" s="35"/>
      <c r="AA11" s="74"/>
      <c r="AB11" s="17"/>
      <c r="AC11" s="74"/>
      <c r="AD11" s="17"/>
      <c r="AE11" s="74"/>
      <c r="AF11" s="17"/>
      <c r="AG11" s="74">
        <f>+AA11-AC11-AE11</f>
        <v>0</v>
      </c>
      <c r="AH11" s="40"/>
      <c r="AI11" s="74"/>
      <c r="AJ11" s="40"/>
      <c r="AK11" s="74"/>
      <c r="AL11" s="17"/>
      <c r="AM11" s="74"/>
      <c r="AN11" s="17"/>
      <c r="AO11" s="74"/>
      <c r="AP11" s="17"/>
      <c r="AQ11" s="74">
        <f>+AO11+AK11-AM11+AI11+AG11</f>
        <v>0</v>
      </c>
      <c r="AR11" s="40"/>
      <c r="AS11" s="17"/>
      <c r="AT11" s="17"/>
      <c r="AU11" s="17"/>
      <c r="AV11" s="17"/>
      <c r="AW11" s="74">
        <f>+C11-I11</f>
        <v>0</v>
      </c>
      <c r="AX11" s="35"/>
      <c r="AY11" s="77" t="s">
        <v>235</v>
      </c>
      <c r="AZ11" s="35"/>
      <c r="BA11" s="74"/>
      <c r="BB11" s="17"/>
      <c r="BC11" s="74"/>
      <c r="BD11" s="17"/>
      <c r="BE11" s="74"/>
      <c r="BF11" s="17"/>
      <c r="BG11" s="74"/>
      <c r="BH11" s="17"/>
      <c r="BI11" s="17"/>
      <c r="BJ11" s="17"/>
      <c r="BK11" s="74">
        <f>SUM(BA11:BI11)</f>
        <v>0</v>
      </c>
      <c r="BL11" s="74"/>
      <c r="BM11" s="74"/>
      <c r="BN11" s="74"/>
      <c r="BO11" s="74"/>
      <c r="BP11" s="74"/>
      <c r="BQ11" s="74"/>
      <c r="BR11" s="74"/>
      <c r="BS11" s="74"/>
      <c r="BT11" s="74"/>
      <c r="BU11" s="74"/>
    </row>
    <row r="12" spans="1:64" ht="12.75">
      <c r="A12" s="77" t="s">
        <v>13</v>
      </c>
      <c r="B12" s="77"/>
      <c r="C12" s="74">
        <f>+G12-E12-Q12</f>
        <v>4198805</v>
      </c>
      <c r="D12" s="74"/>
      <c r="E12" s="74">
        <v>39812036</v>
      </c>
      <c r="F12" s="74"/>
      <c r="G12" s="74">
        <v>45797438</v>
      </c>
      <c r="H12" s="74"/>
      <c r="I12" s="74">
        <f>M12-K12</f>
        <v>3512825</v>
      </c>
      <c r="J12" s="74"/>
      <c r="K12" s="74">
        <v>11831108</v>
      </c>
      <c r="L12" s="74"/>
      <c r="M12" s="74">
        <v>15343933</v>
      </c>
      <c r="N12" s="74"/>
      <c r="O12" s="74">
        <v>24646157</v>
      </c>
      <c r="P12" s="74"/>
      <c r="Q12" s="74">
        <v>1786597</v>
      </c>
      <c r="R12" s="74"/>
      <c r="S12" s="74">
        <v>5807348</v>
      </c>
      <c r="T12" s="74"/>
      <c r="U12" s="74">
        <f>SUM(O12:S12)-Q12</f>
        <v>30453505</v>
      </c>
      <c r="V12" s="35"/>
      <c r="W12" s="35">
        <f>+G12-M12-U12</f>
        <v>0</v>
      </c>
      <c r="X12" s="35"/>
      <c r="Y12" s="77" t="s">
        <v>13</v>
      </c>
      <c r="Z12" s="35"/>
      <c r="AA12" s="74">
        <v>6637917</v>
      </c>
      <c r="AB12" s="17"/>
      <c r="AC12" s="74">
        <f>4311382-1168358</f>
        <v>3143024</v>
      </c>
      <c r="AD12" s="17"/>
      <c r="AE12" s="74">
        <v>1168358</v>
      </c>
      <c r="AF12" s="17"/>
      <c r="AG12" s="74">
        <f>+AA12-AC12-AE12</f>
        <v>2326535</v>
      </c>
      <c r="AH12" s="40"/>
      <c r="AI12" s="74">
        <v>-378483</v>
      </c>
      <c r="AJ12" s="40"/>
      <c r="AK12" s="74">
        <v>0</v>
      </c>
      <c r="AL12" s="17"/>
      <c r="AM12" s="74">
        <v>220948</v>
      </c>
      <c r="AN12" s="17"/>
      <c r="AO12" s="74">
        <v>0</v>
      </c>
      <c r="AP12" s="17"/>
      <c r="AQ12" s="74">
        <f>+AO12+AK12-AM12+AI12+AG12</f>
        <v>1727104</v>
      </c>
      <c r="AR12" s="40"/>
      <c r="AS12" s="17">
        <v>0</v>
      </c>
      <c r="AT12" s="17"/>
      <c r="AU12" s="17">
        <v>0</v>
      </c>
      <c r="AV12" s="17"/>
      <c r="AW12" s="74">
        <f>+C12-I12</f>
        <v>685980</v>
      </c>
      <c r="AX12" s="35"/>
      <c r="AY12" s="77" t="s">
        <v>13</v>
      </c>
      <c r="AZ12" s="35"/>
      <c r="BA12" s="74">
        <v>0</v>
      </c>
      <c r="BB12" s="17"/>
      <c r="BC12" s="74">
        <v>3179442</v>
      </c>
      <c r="BD12" s="17"/>
      <c r="BE12" s="74">
        <f>87051+8504830</f>
        <v>8591881</v>
      </c>
      <c r="BF12" s="17"/>
      <c r="BG12" s="74">
        <v>59785</v>
      </c>
      <c r="BH12" s="17"/>
      <c r="BI12" s="17"/>
      <c r="BJ12" s="17"/>
      <c r="BK12" s="74">
        <f>SUM(BA12:BI12)</f>
        <v>11831108</v>
      </c>
      <c r="BL12" s="79"/>
    </row>
    <row r="13" spans="1:64" ht="12.75" hidden="1">
      <c r="A13" s="77" t="s">
        <v>14</v>
      </c>
      <c r="B13" s="77"/>
      <c r="D13" s="35"/>
      <c r="J13" s="35"/>
      <c r="P13" s="35"/>
      <c r="R13" s="35"/>
      <c r="S13" s="35"/>
      <c r="T13" s="35"/>
      <c r="U13" s="35">
        <f>SUM(O13:S13)</f>
        <v>0</v>
      </c>
      <c r="V13" s="35"/>
      <c r="W13" s="35">
        <f>+G13-M13-U13</f>
        <v>0</v>
      </c>
      <c r="X13" s="35"/>
      <c r="Y13" s="77" t="s">
        <v>14</v>
      </c>
      <c r="Z13" s="35"/>
      <c r="AH13" s="40"/>
      <c r="AR13" s="40"/>
      <c r="AS13" s="17">
        <v>0</v>
      </c>
      <c r="AT13" s="17"/>
      <c r="AU13" s="17">
        <v>0</v>
      </c>
      <c r="AV13" s="17"/>
      <c r="AX13" s="35"/>
      <c r="AY13" s="77" t="s">
        <v>14</v>
      </c>
      <c r="AZ13" s="35"/>
      <c r="BL13" s="79"/>
    </row>
    <row r="14" spans="1:64" ht="12.75">
      <c r="A14" s="77" t="s">
        <v>15</v>
      </c>
      <c r="B14" s="77"/>
      <c r="C14" s="35">
        <f>+G14-E14</f>
        <v>2737129</v>
      </c>
      <c r="D14" s="35"/>
      <c r="E14" s="35">
        <v>9639244</v>
      </c>
      <c r="F14" s="35"/>
      <c r="G14" s="35">
        <v>12376373</v>
      </c>
      <c r="H14" s="35"/>
      <c r="I14" s="35">
        <f>M14-K14</f>
        <v>638206</v>
      </c>
      <c r="J14" s="35"/>
      <c r="K14" s="35">
        <v>2348407</v>
      </c>
      <c r="L14" s="35"/>
      <c r="M14" s="35">
        <v>2986613</v>
      </c>
      <c r="N14" s="35"/>
      <c r="O14" s="35">
        <v>6377852</v>
      </c>
      <c r="P14" s="35"/>
      <c r="Q14" s="35">
        <v>0</v>
      </c>
      <c r="R14" s="35"/>
      <c r="S14" s="35">
        <v>3011908</v>
      </c>
      <c r="T14" s="35"/>
      <c r="U14" s="35">
        <f>SUM(O14:S14)</f>
        <v>9389760</v>
      </c>
      <c r="V14" s="74"/>
      <c r="W14" s="35">
        <f>+G14-M14-U14</f>
        <v>0</v>
      </c>
      <c r="X14" s="74"/>
      <c r="Y14" s="80" t="s">
        <v>15</v>
      </c>
      <c r="Z14" s="74"/>
      <c r="AA14" s="35">
        <v>1916841</v>
      </c>
      <c r="AB14" s="17"/>
      <c r="AC14" s="35">
        <f>1492382-303556</f>
        <v>1188826</v>
      </c>
      <c r="AD14" s="17"/>
      <c r="AE14" s="35">
        <v>303556</v>
      </c>
      <c r="AF14" s="17"/>
      <c r="AG14" s="35">
        <f>+AA14-AC14-AE14</f>
        <v>424459</v>
      </c>
      <c r="AH14" s="40"/>
      <c r="AI14" s="152">
        <f>228859-247378</f>
        <v>-18519</v>
      </c>
      <c r="AJ14" s="40"/>
      <c r="AK14" s="35">
        <v>5421</v>
      </c>
      <c r="AL14" s="17"/>
      <c r="AM14" s="35">
        <v>0</v>
      </c>
      <c r="AN14" s="17"/>
      <c r="AO14" s="35">
        <v>247378</v>
      </c>
      <c r="AP14" s="17"/>
      <c r="AQ14" s="35">
        <f>+AO14+AK14-AM14+AI14+AG14</f>
        <v>658739</v>
      </c>
      <c r="AR14" s="40"/>
      <c r="AS14" s="17">
        <v>0</v>
      </c>
      <c r="AT14" s="17"/>
      <c r="AU14" s="17">
        <v>0</v>
      </c>
      <c r="AV14" s="17"/>
      <c r="AW14" s="35">
        <f>+C14-I14</f>
        <v>2098923</v>
      </c>
      <c r="AX14" s="48"/>
      <c r="AY14" s="80" t="s">
        <v>15</v>
      </c>
      <c r="AZ14" s="48"/>
      <c r="BA14" s="35">
        <v>0</v>
      </c>
      <c r="BB14" s="17"/>
      <c r="BC14" s="35">
        <v>321900</v>
      </c>
      <c r="BD14" s="17"/>
      <c r="BE14" s="35">
        <f>1821638+168026</f>
        <v>1989664</v>
      </c>
      <c r="BF14" s="17"/>
      <c r="BG14" s="35">
        <v>36843</v>
      </c>
      <c r="BH14" s="17"/>
      <c r="BI14" s="17"/>
      <c r="BJ14" s="17"/>
      <c r="BK14" s="35">
        <f>SUM(BA14:BI14)</f>
        <v>2348407</v>
      </c>
      <c r="BL14" s="79"/>
    </row>
    <row r="15" spans="1:64" ht="12.75" hidden="1">
      <c r="A15" s="77" t="s">
        <v>16</v>
      </c>
      <c r="B15" s="77"/>
      <c r="C15" s="35">
        <f>+G15-E15</f>
        <v>0</v>
      </c>
      <c r="D15" s="35"/>
      <c r="E15" s="35"/>
      <c r="F15" s="35"/>
      <c r="G15" s="35"/>
      <c r="H15" s="35"/>
      <c r="I15" s="35">
        <f aca="true" t="shared" si="0" ref="I15:I28">M15-K15</f>
        <v>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>
        <f aca="true" t="shared" si="1" ref="U15:U28">SUM(O15:S15)</f>
        <v>0</v>
      </c>
      <c r="V15" s="35"/>
      <c r="W15" s="35">
        <f aca="true" t="shared" si="2" ref="W15:W28">+G15-M15-U15</f>
        <v>0</v>
      </c>
      <c r="X15" s="35"/>
      <c r="Y15" s="81" t="s">
        <v>16</v>
      </c>
      <c r="Z15" s="35"/>
      <c r="AA15" s="35"/>
      <c r="AB15" s="17"/>
      <c r="AC15" s="35"/>
      <c r="AD15" s="17"/>
      <c r="AE15" s="35"/>
      <c r="AF15" s="17"/>
      <c r="AG15" s="35">
        <f aca="true" t="shared" si="3" ref="AG15:AG28">+AA15-AC15-AE15</f>
        <v>0</v>
      </c>
      <c r="AH15" s="40"/>
      <c r="AI15" s="35"/>
      <c r="AJ15" s="40"/>
      <c r="AK15" s="35"/>
      <c r="AL15" s="17"/>
      <c r="AM15" s="35"/>
      <c r="AN15" s="17"/>
      <c r="AO15" s="35"/>
      <c r="AP15" s="17"/>
      <c r="AQ15" s="35">
        <f aca="true" t="shared" si="4" ref="AQ15:AQ28">+AO15+AK15-AM15+AI15+AG15</f>
        <v>0</v>
      </c>
      <c r="AR15" s="40"/>
      <c r="AS15" s="17">
        <v>0</v>
      </c>
      <c r="AT15" s="17"/>
      <c r="AU15" s="17">
        <v>0</v>
      </c>
      <c r="AV15" s="17"/>
      <c r="AW15" s="35">
        <f aca="true" t="shared" si="5" ref="AW15:AW28">+C15-I15</f>
        <v>0</v>
      </c>
      <c r="AX15" s="17"/>
      <c r="AY15" s="81" t="s">
        <v>16</v>
      </c>
      <c r="AZ15" s="17"/>
      <c r="BA15" s="35"/>
      <c r="BB15" s="17"/>
      <c r="BC15" s="35"/>
      <c r="BD15" s="17"/>
      <c r="BE15" s="35"/>
      <c r="BF15" s="17"/>
      <c r="BG15" s="35"/>
      <c r="BH15" s="17"/>
      <c r="BI15" s="17"/>
      <c r="BJ15" s="17"/>
      <c r="BK15" s="35">
        <f aca="true" t="shared" si="6" ref="BK15:BK28">SUM(BA15:BI15)</f>
        <v>0</v>
      </c>
      <c r="BL15" s="79"/>
    </row>
    <row r="16" spans="1:64" ht="12.75">
      <c r="A16" s="77" t="s">
        <v>17</v>
      </c>
      <c r="B16" s="77"/>
      <c r="C16" s="35">
        <f aca="true" t="shared" si="7" ref="C16:C28">+G16-E16</f>
        <v>497631</v>
      </c>
      <c r="D16" s="35"/>
      <c r="E16" s="35">
        <v>3185524</v>
      </c>
      <c r="F16" s="35"/>
      <c r="G16" s="35">
        <v>3683155</v>
      </c>
      <c r="H16" s="35"/>
      <c r="I16" s="35">
        <f t="shared" si="0"/>
        <v>68256</v>
      </c>
      <c r="J16" s="35"/>
      <c r="K16" s="35">
        <v>2500</v>
      </c>
      <c r="L16" s="35"/>
      <c r="M16" s="35">
        <v>70756</v>
      </c>
      <c r="N16" s="35"/>
      <c r="O16" s="35">
        <v>3178024</v>
      </c>
      <c r="P16" s="35"/>
      <c r="Q16" s="35">
        <v>0</v>
      </c>
      <c r="R16" s="35"/>
      <c r="S16" s="35">
        <v>434375</v>
      </c>
      <c r="T16" s="35"/>
      <c r="U16" s="35">
        <f t="shared" si="1"/>
        <v>3612399</v>
      </c>
      <c r="V16" s="35"/>
      <c r="W16" s="35">
        <f t="shared" si="2"/>
        <v>0</v>
      </c>
      <c r="X16" s="35"/>
      <c r="Y16" s="81" t="s">
        <v>17</v>
      </c>
      <c r="Z16" s="35"/>
      <c r="AA16" s="35">
        <v>348121</v>
      </c>
      <c r="AB16" s="17"/>
      <c r="AC16" s="35">
        <f>481743-165153</f>
        <v>316590</v>
      </c>
      <c r="AD16" s="17"/>
      <c r="AE16" s="35">
        <v>165153</v>
      </c>
      <c r="AF16" s="17"/>
      <c r="AG16" s="35">
        <f t="shared" si="3"/>
        <v>-133622</v>
      </c>
      <c r="AH16" s="40"/>
      <c r="AI16" s="35">
        <v>1353</v>
      </c>
      <c r="AJ16" s="40"/>
      <c r="AK16" s="35">
        <v>0</v>
      </c>
      <c r="AL16" s="17"/>
      <c r="AM16" s="35">
        <v>0</v>
      </c>
      <c r="AN16" s="17"/>
      <c r="AO16" s="35">
        <v>0</v>
      </c>
      <c r="AP16" s="17"/>
      <c r="AQ16" s="35">
        <f t="shared" si="4"/>
        <v>-132269</v>
      </c>
      <c r="AR16" s="40"/>
      <c r="AS16" s="17">
        <v>0</v>
      </c>
      <c r="AT16" s="17"/>
      <c r="AU16" s="17">
        <v>0</v>
      </c>
      <c r="AV16" s="17"/>
      <c r="AW16" s="35">
        <f t="shared" si="5"/>
        <v>429375</v>
      </c>
      <c r="AX16" s="35"/>
      <c r="AY16" s="81" t="s">
        <v>17</v>
      </c>
      <c r="AZ16" s="35"/>
      <c r="BA16" s="35">
        <v>0</v>
      </c>
      <c r="BB16" s="17"/>
      <c r="BC16" s="35">
        <v>0</v>
      </c>
      <c r="BD16" s="17"/>
      <c r="BE16" s="35">
        <v>0</v>
      </c>
      <c r="BF16" s="17"/>
      <c r="BG16" s="35">
        <v>70756</v>
      </c>
      <c r="BH16" s="17"/>
      <c r="BI16" s="17"/>
      <c r="BJ16" s="17"/>
      <c r="BK16" s="35">
        <f t="shared" si="6"/>
        <v>70756</v>
      </c>
      <c r="BL16" s="79"/>
    </row>
    <row r="17" spans="1:64" ht="12.75">
      <c r="A17" s="77" t="s">
        <v>18</v>
      </c>
      <c r="B17" s="77"/>
      <c r="C17" s="35">
        <f>+G17-E17</f>
        <v>1433757</v>
      </c>
      <c r="D17" s="35"/>
      <c r="E17" s="35">
        <v>9676657</v>
      </c>
      <c r="F17" s="35"/>
      <c r="G17" s="35">
        <v>11110414</v>
      </c>
      <c r="H17" s="35"/>
      <c r="I17" s="35">
        <f t="shared" si="0"/>
        <v>774294</v>
      </c>
      <c r="J17" s="35"/>
      <c r="K17" s="35">
        <v>6736903</v>
      </c>
      <c r="L17" s="35"/>
      <c r="M17" s="35">
        <v>7511197</v>
      </c>
      <c r="N17" s="35"/>
      <c r="O17" s="35">
        <v>2780454</v>
      </c>
      <c r="P17" s="35"/>
      <c r="Q17" s="35">
        <v>0</v>
      </c>
      <c r="R17" s="35"/>
      <c r="S17" s="35">
        <v>818763</v>
      </c>
      <c r="T17" s="35"/>
      <c r="U17" s="35">
        <f t="shared" si="1"/>
        <v>3599217</v>
      </c>
      <c r="V17" s="35"/>
      <c r="W17" s="35">
        <f t="shared" si="2"/>
        <v>0</v>
      </c>
      <c r="X17" s="35"/>
      <c r="Y17" s="81" t="s">
        <v>18</v>
      </c>
      <c r="Z17" s="35"/>
      <c r="AA17" s="35">
        <v>1141158</v>
      </c>
      <c r="AB17" s="17"/>
      <c r="AC17" s="35">
        <f>1020397-294364</f>
        <v>726033</v>
      </c>
      <c r="AD17" s="17"/>
      <c r="AE17" s="35">
        <v>294364</v>
      </c>
      <c r="AF17" s="17"/>
      <c r="AG17" s="35">
        <f t="shared" si="3"/>
        <v>120761</v>
      </c>
      <c r="AH17" s="40"/>
      <c r="AI17" s="35">
        <v>-257634</v>
      </c>
      <c r="AJ17" s="40"/>
      <c r="AK17" s="35">
        <v>224575</v>
      </c>
      <c r="AL17" s="17"/>
      <c r="AM17" s="35">
        <v>0</v>
      </c>
      <c r="AN17" s="17"/>
      <c r="AO17" s="35">
        <v>603611</v>
      </c>
      <c r="AP17" s="17"/>
      <c r="AQ17" s="35">
        <f t="shared" si="4"/>
        <v>691313</v>
      </c>
      <c r="AR17" s="40"/>
      <c r="AS17" s="17">
        <v>0</v>
      </c>
      <c r="AT17" s="17"/>
      <c r="AU17" s="17">
        <v>0</v>
      </c>
      <c r="AV17" s="17"/>
      <c r="AW17" s="35">
        <f t="shared" si="5"/>
        <v>659463</v>
      </c>
      <c r="AX17" s="17"/>
      <c r="AY17" s="81" t="s">
        <v>18</v>
      </c>
      <c r="AZ17" s="17"/>
      <c r="BA17" s="35">
        <v>4907397</v>
      </c>
      <c r="BB17" s="17"/>
      <c r="BC17" s="35">
        <v>0</v>
      </c>
      <c r="BD17" s="17"/>
      <c r="BE17" s="35">
        <v>0</v>
      </c>
      <c r="BF17" s="17"/>
      <c r="BG17" s="35">
        <f>6736903-4907397</f>
        <v>1829506</v>
      </c>
      <c r="BH17" s="17"/>
      <c r="BI17" s="17"/>
      <c r="BJ17" s="17"/>
      <c r="BK17" s="35">
        <f t="shared" si="6"/>
        <v>6736903</v>
      </c>
      <c r="BL17" s="79"/>
    </row>
    <row r="18" spans="1:64" ht="12.75" hidden="1">
      <c r="A18" s="77" t="s">
        <v>238</v>
      </c>
      <c r="B18" s="77"/>
      <c r="C18" s="35">
        <f t="shared" si="7"/>
        <v>0</v>
      </c>
      <c r="D18" s="35"/>
      <c r="E18" s="35"/>
      <c r="F18" s="35"/>
      <c r="G18" s="35"/>
      <c r="H18" s="35"/>
      <c r="I18" s="35">
        <f t="shared" si="0"/>
        <v>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f t="shared" si="1"/>
        <v>0</v>
      </c>
      <c r="V18" s="35"/>
      <c r="W18" s="35">
        <f t="shared" si="2"/>
        <v>0</v>
      </c>
      <c r="X18" s="35"/>
      <c r="Y18" s="81" t="s">
        <v>96</v>
      </c>
      <c r="Z18" s="35"/>
      <c r="AA18" s="35"/>
      <c r="AB18" s="17"/>
      <c r="AC18" s="35"/>
      <c r="AD18" s="17"/>
      <c r="AE18" s="35"/>
      <c r="AF18" s="17"/>
      <c r="AG18" s="35">
        <f t="shared" si="3"/>
        <v>0</v>
      </c>
      <c r="AH18" s="40"/>
      <c r="AI18" s="35"/>
      <c r="AJ18" s="40"/>
      <c r="AK18" s="35"/>
      <c r="AL18" s="17"/>
      <c r="AM18" s="35"/>
      <c r="AN18" s="17"/>
      <c r="AO18" s="35"/>
      <c r="AP18" s="17"/>
      <c r="AQ18" s="35">
        <f t="shared" si="4"/>
        <v>0</v>
      </c>
      <c r="AR18" s="40"/>
      <c r="AS18" s="17">
        <v>0</v>
      </c>
      <c r="AT18" s="17"/>
      <c r="AU18" s="17">
        <v>0</v>
      </c>
      <c r="AV18" s="17"/>
      <c r="AW18" s="35">
        <f t="shared" si="5"/>
        <v>0</v>
      </c>
      <c r="AX18" s="35"/>
      <c r="AY18" s="81" t="s">
        <v>96</v>
      </c>
      <c r="AZ18" s="35"/>
      <c r="BA18" s="35"/>
      <c r="BB18" s="17"/>
      <c r="BC18" s="35"/>
      <c r="BD18" s="17"/>
      <c r="BE18" s="35"/>
      <c r="BF18" s="17"/>
      <c r="BG18" s="35"/>
      <c r="BH18" s="17"/>
      <c r="BI18" s="17"/>
      <c r="BJ18" s="17"/>
      <c r="BK18" s="35">
        <f t="shared" si="6"/>
        <v>0</v>
      </c>
      <c r="BL18" s="79"/>
    </row>
    <row r="19" spans="1:64" ht="12.75">
      <c r="A19" s="77" t="s">
        <v>236</v>
      </c>
      <c r="B19" s="77"/>
      <c r="C19" s="35">
        <f t="shared" si="7"/>
        <v>32248138</v>
      </c>
      <c r="D19" s="35"/>
      <c r="E19" s="35">
        <v>188364430</v>
      </c>
      <c r="F19" s="35"/>
      <c r="G19" s="35">
        <v>220612568</v>
      </c>
      <c r="H19" s="35"/>
      <c r="I19" s="35">
        <f t="shared" si="0"/>
        <v>6393551</v>
      </c>
      <c r="J19" s="35"/>
      <c r="K19" s="35">
        <v>39855741</v>
      </c>
      <c r="L19" s="35"/>
      <c r="M19" s="35">
        <v>46249292</v>
      </c>
      <c r="N19" s="35"/>
      <c r="O19" s="35">
        <v>137436459</v>
      </c>
      <c r="P19" s="35"/>
      <c r="Q19" s="35">
        <v>4000000</v>
      </c>
      <c r="R19" s="35"/>
      <c r="S19" s="35">
        <v>32926817</v>
      </c>
      <c r="T19" s="35"/>
      <c r="U19" s="35">
        <f>SUM(O19:S19)</f>
        <v>174363276</v>
      </c>
      <c r="V19" s="35"/>
      <c r="W19" s="35">
        <f t="shared" si="2"/>
        <v>0</v>
      </c>
      <c r="X19" s="35"/>
      <c r="Y19" s="81" t="s">
        <v>236</v>
      </c>
      <c r="Z19" s="35"/>
      <c r="AA19" s="35">
        <v>17771799</v>
      </c>
      <c r="AB19" s="17"/>
      <c r="AC19" s="35">
        <f>20997757-10060564</f>
        <v>10937193</v>
      </c>
      <c r="AD19" s="17"/>
      <c r="AE19" s="35">
        <v>10060564</v>
      </c>
      <c r="AF19" s="17"/>
      <c r="AG19" s="35">
        <f t="shared" si="3"/>
        <v>-3225958</v>
      </c>
      <c r="AH19" s="40"/>
      <c r="AI19" s="35">
        <v>-2269509</v>
      </c>
      <c r="AJ19" s="40"/>
      <c r="AK19" s="35">
        <v>0</v>
      </c>
      <c r="AL19" s="17"/>
      <c r="AM19" s="35">
        <v>861452</v>
      </c>
      <c r="AN19" s="17"/>
      <c r="AO19" s="35">
        <v>4520504</v>
      </c>
      <c r="AP19" s="17"/>
      <c r="AQ19" s="35">
        <f t="shared" si="4"/>
        <v>-1836415</v>
      </c>
      <c r="AR19" s="40"/>
      <c r="AS19" s="17">
        <v>0</v>
      </c>
      <c r="AT19" s="17"/>
      <c r="AU19" s="17">
        <v>0</v>
      </c>
      <c r="AV19" s="17"/>
      <c r="AW19" s="35">
        <f t="shared" si="5"/>
        <v>25854587</v>
      </c>
      <c r="AX19" s="35"/>
      <c r="AY19" s="81" t="s">
        <v>236</v>
      </c>
      <c r="AZ19" s="35"/>
      <c r="BA19" s="35">
        <v>3486187</v>
      </c>
      <c r="BB19" s="17"/>
      <c r="BC19" s="35">
        <v>33730657</v>
      </c>
      <c r="BD19" s="17"/>
      <c r="BE19" s="35">
        <v>2359920</v>
      </c>
      <c r="BF19" s="17"/>
      <c r="BG19" s="35">
        <v>278977</v>
      </c>
      <c r="BH19" s="17"/>
      <c r="BI19" s="17"/>
      <c r="BJ19" s="17"/>
      <c r="BK19" s="35">
        <f t="shared" si="6"/>
        <v>39855741</v>
      </c>
      <c r="BL19" s="79"/>
    </row>
    <row r="20" spans="1:64" ht="12.75">
      <c r="A20" s="77" t="s">
        <v>20</v>
      </c>
      <c r="B20" s="77"/>
      <c r="C20" s="35">
        <f t="shared" si="7"/>
        <v>679585</v>
      </c>
      <c r="D20" s="35"/>
      <c r="E20" s="35">
        <v>6103856</v>
      </c>
      <c r="F20" s="35"/>
      <c r="G20" s="35">
        <v>6783441</v>
      </c>
      <c r="H20" s="35"/>
      <c r="I20" s="35">
        <f t="shared" si="0"/>
        <v>125682</v>
      </c>
      <c r="J20" s="35"/>
      <c r="K20" s="35">
        <v>2933184</v>
      </c>
      <c r="L20" s="35"/>
      <c r="M20" s="35">
        <v>3058866</v>
      </c>
      <c r="N20" s="35"/>
      <c r="O20" s="35">
        <v>3083886</v>
      </c>
      <c r="P20" s="35"/>
      <c r="Q20" s="35">
        <v>28970</v>
      </c>
      <c r="R20" s="35"/>
      <c r="S20" s="35">
        <v>611719</v>
      </c>
      <c r="T20" s="35"/>
      <c r="U20" s="35">
        <f t="shared" si="1"/>
        <v>3724575</v>
      </c>
      <c r="V20" s="35"/>
      <c r="W20" s="35">
        <f t="shared" si="2"/>
        <v>0</v>
      </c>
      <c r="X20" s="35"/>
      <c r="Y20" s="81" t="s">
        <v>20</v>
      </c>
      <c r="Z20" s="35"/>
      <c r="AA20" s="35">
        <v>772379</v>
      </c>
      <c r="AB20" s="17"/>
      <c r="AC20" s="35">
        <f>786269-252079</f>
        <v>534190</v>
      </c>
      <c r="AD20" s="17"/>
      <c r="AE20" s="35">
        <v>252079</v>
      </c>
      <c r="AF20" s="17"/>
      <c r="AG20" s="35">
        <f t="shared" si="3"/>
        <v>-13890</v>
      </c>
      <c r="AH20" s="40"/>
      <c r="AI20" s="35">
        <v>38436</v>
      </c>
      <c r="AJ20" s="40"/>
      <c r="AK20" s="35">
        <v>0</v>
      </c>
      <c r="AL20" s="17"/>
      <c r="AM20" s="35">
        <v>0</v>
      </c>
      <c r="AN20" s="17"/>
      <c r="AO20" s="35">
        <v>0</v>
      </c>
      <c r="AP20" s="17"/>
      <c r="AQ20" s="35">
        <f t="shared" si="4"/>
        <v>24546</v>
      </c>
      <c r="AR20" s="40"/>
      <c r="AS20" s="17">
        <v>0</v>
      </c>
      <c r="AT20" s="17"/>
      <c r="AU20" s="17">
        <v>0</v>
      </c>
      <c r="AV20" s="17"/>
      <c r="AW20" s="35">
        <f t="shared" si="5"/>
        <v>553903</v>
      </c>
      <c r="AX20" s="17"/>
      <c r="AY20" s="81" t="s">
        <v>20</v>
      </c>
      <c r="AZ20" s="17"/>
      <c r="BA20" s="35">
        <v>0</v>
      </c>
      <c r="BB20" s="17"/>
      <c r="BC20" s="35">
        <v>2746800</v>
      </c>
      <c r="BD20" s="17"/>
      <c r="BE20" s="35">
        <v>178800</v>
      </c>
      <c r="BF20" s="17"/>
      <c r="BG20" s="35">
        <v>7584</v>
      </c>
      <c r="BH20" s="17"/>
      <c r="BI20" s="17"/>
      <c r="BJ20" s="17"/>
      <c r="BK20" s="35">
        <f t="shared" si="6"/>
        <v>2933184</v>
      </c>
      <c r="BL20" s="79"/>
    </row>
    <row r="21" spans="1:64" ht="12.75" hidden="1">
      <c r="A21" s="23" t="s">
        <v>172</v>
      </c>
      <c r="B21" s="23"/>
      <c r="C21" s="35">
        <f t="shared" si="7"/>
        <v>0</v>
      </c>
      <c r="D21" s="35"/>
      <c r="E21" s="35"/>
      <c r="F21" s="35"/>
      <c r="G21" s="35"/>
      <c r="H21" s="35"/>
      <c r="I21" s="35">
        <f t="shared" si="0"/>
        <v>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>
        <f t="shared" si="1"/>
        <v>0</v>
      </c>
      <c r="V21" s="35"/>
      <c r="W21" s="35">
        <f t="shared" si="2"/>
        <v>0</v>
      </c>
      <c r="X21" s="35"/>
      <c r="Y21" s="17" t="s">
        <v>172</v>
      </c>
      <c r="Z21" s="35"/>
      <c r="AA21" s="35"/>
      <c r="AB21" s="17"/>
      <c r="AC21" s="35"/>
      <c r="AD21" s="17"/>
      <c r="AE21" s="35"/>
      <c r="AF21" s="17"/>
      <c r="AG21" s="35">
        <f t="shared" si="3"/>
        <v>0</v>
      </c>
      <c r="AH21" s="40"/>
      <c r="AI21" s="35"/>
      <c r="AJ21" s="40"/>
      <c r="AK21" s="35"/>
      <c r="AL21" s="17"/>
      <c r="AM21" s="35"/>
      <c r="AN21" s="17"/>
      <c r="AO21" s="35"/>
      <c r="AP21" s="17"/>
      <c r="AQ21" s="35">
        <f t="shared" si="4"/>
        <v>0</v>
      </c>
      <c r="AR21" s="40"/>
      <c r="AS21" s="17">
        <v>0</v>
      </c>
      <c r="AT21" s="17"/>
      <c r="AU21" s="17">
        <v>0</v>
      </c>
      <c r="AV21" s="17"/>
      <c r="AW21" s="35">
        <f t="shared" si="5"/>
        <v>0</v>
      </c>
      <c r="AX21" s="35"/>
      <c r="AY21" s="17" t="s">
        <v>172</v>
      </c>
      <c r="AZ21" s="35"/>
      <c r="BA21" s="35"/>
      <c r="BB21" s="17"/>
      <c r="BC21" s="35"/>
      <c r="BD21" s="17"/>
      <c r="BE21" s="35"/>
      <c r="BF21" s="17"/>
      <c r="BG21" s="35"/>
      <c r="BH21" s="17"/>
      <c r="BI21" s="17"/>
      <c r="BJ21" s="17"/>
      <c r="BK21" s="35">
        <f t="shared" si="6"/>
        <v>0</v>
      </c>
      <c r="BL21" s="79"/>
    </row>
    <row r="22" spans="1:64" ht="12.75">
      <c r="A22" s="77" t="s">
        <v>21</v>
      </c>
      <c r="B22" s="77"/>
      <c r="C22" s="35">
        <f t="shared" si="7"/>
        <v>6896902</v>
      </c>
      <c r="D22" s="35"/>
      <c r="E22" s="35">
        <v>11120164</v>
      </c>
      <c r="F22" s="35"/>
      <c r="G22" s="35">
        <v>18017066</v>
      </c>
      <c r="H22" s="35"/>
      <c r="I22" s="35">
        <f t="shared" si="0"/>
        <v>2193159</v>
      </c>
      <c r="J22" s="35"/>
      <c r="K22" s="35">
        <v>2792678</v>
      </c>
      <c r="L22" s="35"/>
      <c r="M22" s="35">
        <v>4985837</v>
      </c>
      <c r="N22" s="35"/>
      <c r="O22" s="35">
        <v>6448993</v>
      </c>
      <c r="P22" s="35"/>
      <c r="Q22" s="35">
        <v>0</v>
      </c>
      <c r="R22" s="35"/>
      <c r="S22" s="35">
        <v>6582236</v>
      </c>
      <c r="T22" s="35"/>
      <c r="U22" s="35">
        <f t="shared" si="1"/>
        <v>13031229</v>
      </c>
      <c r="V22" s="35"/>
      <c r="W22" s="35">
        <f t="shared" si="2"/>
        <v>0</v>
      </c>
      <c r="X22" s="35"/>
      <c r="Y22" s="81" t="s">
        <v>21</v>
      </c>
      <c r="Z22" s="35"/>
      <c r="AA22" s="35">
        <v>3721490</v>
      </c>
      <c r="AB22" s="17"/>
      <c r="AC22" s="35">
        <f>3211085-501047</f>
        <v>2710038</v>
      </c>
      <c r="AD22" s="17"/>
      <c r="AE22" s="35">
        <v>501047</v>
      </c>
      <c r="AF22" s="17"/>
      <c r="AG22" s="35">
        <f t="shared" si="3"/>
        <v>510405</v>
      </c>
      <c r="AH22" s="40"/>
      <c r="AI22" s="35">
        <v>-112366</v>
      </c>
      <c r="AJ22" s="40"/>
      <c r="AK22" s="35">
        <v>0</v>
      </c>
      <c r="AL22" s="17"/>
      <c r="AM22" s="35">
        <v>36450</v>
      </c>
      <c r="AN22" s="17"/>
      <c r="AO22" s="35">
        <v>23816</v>
      </c>
      <c r="AP22" s="17"/>
      <c r="AQ22" s="35">
        <f t="shared" si="4"/>
        <v>385405</v>
      </c>
      <c r="AR22" s="40"/>
      <c r="AS22" s="17">
        <v>0</v>
      </c>
      <c r="AT22" s="17"/>
      <c r="AU22" s="17">
        <v>0</v>
      </c>
      <c r="AV22" s="17"/>
      <c r="AW22" s="35">
        <f t="shared" si="5"/>
        <v>4703743</v>
      </c>
      <c r="AX22" s="17"/>
      <c r="AY22" s="81" t="s">
        <v>21</v>
      </c>
      <c r="AZ22" s="17"/>
      <c r="BA22" s="35">
        <v>1952400</v>
      </c>
      <c r="BB22" s="17"/>
      <c r="BC22" s="35">
        <v>0</v>
      </c>
      <c r="BD22" s="17"/>
      <c r="BE22" s="35">
        <f>222918+535786</f>
        <v>758704</v>
      </c>
      <c r="BF22" s="17"/>
      <c r="BG22" s="35">
        <f>77670+13898-9994</f>
        <v>81574</v>
      </c>
      <c r="BH22" s="17"/>
      <c r="BI22" s="17"/>
      <c r="BJ22" s="17"/>
      <c r="BK22" s="35">
        <f t="shared" si="6"/>
        <v>2792678</v>
      </c>
      <c r="BL22" s="79"/>
    </row>
    <row r="23" spans="1:64" ht="12.75">
      <c r="A23" s="77" t="s">
        <v>180</v>
      </c>
      <c r="B23" s="77"/>
      <c r="C23" s="35">
        <f t="shared" si="7"/>
        <v>28047392</v>
      </c>
      <c r="D23" s="35"/>
      <c r="E23" s="35">
        <v>193607352</v>
      </c>
      <c r="F23" s="35"/>
      <c r="G23" s="35">
        <v>221654744</v>
      </c>
      <c r="H23" s="35"/>
      <c r="I23" s="35">
        <f t="shared" si="0"/>
        <v>6122960</v>
      </c>
      <c r="J23" s="35"/>
      <c r="K23" s="35">
        <v>48907477</v>
      </c>
      <c r="L23" s="35"/>
      <c r="M23" s="35">
        <v>55030437</v>
      </c>
      <c r="N23" s="35"/>
      <c r="O23" s="35">
        <v>121864151</v>
      </c>
      <c r="P23" s="35"/>
      <c r="Q23" s="35">
        <v>2882559</v>
      </c>
      <c r="R23" s="35"/>
      <c r="S23" s="35">
        <v>41877597</v>
      </c>
      <c r="T23" s="35"/>
      <c r="U23" s="35">
        <f t="shared" si="1"/>
        <v>166624307</v>
      </c>
      <c r="V23" s="35"/>
      <c r="W23" s="35">
        <f t="shared" si="2"/>
        <v>0</v>
      </c>
      <c r="X23" s="35"/>
      <c r="Y23" s="81" t="s">
        <v>180</v>
      </c>
      <c r="Z23" s="35"/>
      <c r="AA23" s="35">
        <v>14294539</v>
      </c>
      <c r="AB23" s="17"/>
      <c r="AC23" s="35">
        <f>17186078-7642668</f>
        <v>9543410</v>
      </c>
      <c r="AD23" s="17"/>
      <c r="AE23" s="35">
        <v>7642668</v>
      </c>
      <c r="AF23" s="17"/>
      <c r="AG23" s="35">
        <f t="shared" si="3"/>
        <v>-2891539</v>
      </c>
      <c r="AH23" s="40"/>
      <c r="AI23" s="35">
        <v>-1426920</v>
      </c>
      <c r="AJ23" s="40"/>
      <c r="AK23" s="35">
        <v>4691045</v>
      </c>
      <c r="AL23" s="17"/>
      <c r="AM23" s="35">
        <v>0</v>
      </c>
      <c r="AN23" s="17"/>
      <c r="AO23" s="35">
        <v>2720050</v>
      </c>
      <c r="AP23" s="17"/>
      <c r="AQ23" s="35">
        <f t="shared" si="4"/>
        <v>3092636</v>
      </c>
      <c r="AR23" s="40"/>
      <c r="AS23" s="17">
        <v>0</v>
      </c>
      <c r="AT23" s="17"/>
      <c r="AU23" s="17">
        <v>0</v>
      </c>
      <c r="AV23" s="17"/>
      <c r="AW23" s="35">
        <f t="shared" si="5"/>
        <v>21924432</v>
      </c>
      <c r="AX23" s="17"/>
      <c r="AY23" s="81" t="s">
        <v>180</v>
      </c>
      <c r="AZ23" s="17"/>
      <c r="BA23" s="35">
        <v>0</v>
      </c>
      <c r="BB23" s="17"/>
      <c r="BC23" s="35">
        <v>23150000</v>
      </c>
      <c r="BD23" s="17"/>
      <c r="BE23" s="35">
        <v>7975578</v>
      </c>
      <c r="BF23" s="17"/>
      <c r="BG23" s="35">
        <v>17781899</v>
      </c>
      <c r="BH23" s="17"/>
      <c r="BI23" s="17"/>
      <c r="BJ23" s="17"/>
      <c r="BK23" s="35">
        <f t="shared" si="6"/>
        <v>48907477</v>
      </c>
      <c r="BL23" s="79"/>
    </row>
    <row r="24" spans="1:64" ht="12.75" hidden="1">
      <c r="A24" s="77" t="s">
        <v>22</v>
      </c>
      <c r="B24" s="77"/>
      <c r="C24" s="35">
        <f t="shared" si="7"/>
        <v>0</v>
      </c>
      <c r="D24" s="35"/>
      <c r="E24" s="35"/>
      <c r="F24" s="35"/>
      <c r="G24" s="35"/>
      <c r="H24" s="35"/>
      <c r="I24" s="35">
        <f t="shared" si="0"/>
        <v>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>
        <f t="shared" si="1"/>
        <v>0</v>
      </c>
      <c r="V24" s="35"/>
      <c r="W24" s="35">
        <f t="shared" si="2"/>
        <v>0</v>
      </c>
      <c r="X24" s="35"/>
      <c r="Y24" s="81" t="s">
        <v>22</v>
      </c>
      <c r="Z24" s="35"/>
      <c r="AA24" s="35"/>
      <c r="AB24" s="17"/>
      <c r="AC24" s="35"/>
      <c r="AD24" s="17"/>
      <c r="AE24" s="35"/>
      <c r="AF24" s="17"/>
      <c r="AG24" s="35">
        <f t="shared" si="3"/>
        <v>0</v>
      </c>
      <c r="AH24" s="40"/>
      <c r="AI24" s="35"/>
      <c r="AJ24" s="40"/>
      <c r="AK24" s="35"/>
      <c r="AL24" s="17"/>
      <c r="AM24" s="35"/>
      <c r="AN24" s="17"/>
      <c r="AO24" s="35"/>
      <c r="AP24" s="17"/>
      <c r="AQ24" s="35">
        <f t="shared" si="4"/>
        <v>0</v>
      </c>
      <c r="AR24" s="40"/>
      <c r="AS24" s="17">
        <v>0</v>
      </c>
      <c r="AT24" s="17"/>
      <c r="AU24" s="17">
        <v>0</v>
      </c>
      <c r="AV24" s="17"/>
      <c r="AW24" s="35">
        <f t="shared" si="5"/>
        <v>0</v>
      </c>
      <c r="AX24" s="35"/>
      <c r="AY24" s="81" t="s">
        <v>22</v>
      </c>
      <c r="AZ24" s="35"/>
      <c r="BA24" s="35"/>
      <c r="BB24" s="17"/>
      <c r="BC24" s="35"/>
      <c r="BD24" s="17"/>
      <c r="BE24" s="35"/>
      <c r="BF24" s="17"/>
      <c r="BG24" s="35"/>
      <c r="BH24" s="17"/>
      <c r="BI24" s="17"/>
      <c r="BJ24" s="17"/>
      <c r="BK24" s="35">
        <f t="shared" si="6"/>
        <v>0</v>
      </c>
      <c r="BL24" s="79"/>
    </row>
    <row r="25" spans="1:64" ht="12.75" hidden="1">
      <c r="A25" s="77" t="s">
        <v>23</v>
      </c>
      <c r="B25" s="77"/>
      <c r="C25" s="35">
        <f t="shared" si="7"/>
        <v>1538550</v>
      </c>
      <c r="D25" s="35"/>
      <c r="E25" s="35"/>
      <c r="F25" s="35"/>
      <c r="G25" s="35">
        <v>1538550</v>
      </c>
      <c r="H25" s="35"/>
      <c r="I25" s="35">
        <f t="shared" si="0"/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>
        <v>1538550</v>
      </c>
      <c r="T25" s="35"/>
      <c r="U25" s="35">
        <f t="shared" si="1"/>
        <v>1538550</v>
      </c>
      <c r="V25" s="35"/>
      <c r="W25" s="35">
        <f t="shared" si="2"/>
        <v>0</v>
      </c>
      <c r="X25" s="35"/>
      <c r="Y25" s="81" t="s">
        <v>23</v>
      </c>
      <c r="Z25" s="35"/>
      <c r="AA25" s="35">
        <v>1703389</v>
      </c>
      <c r="AB25" s="17"/>
      <c r="AC25" s="35">
        <v>4208327</v>
      </c>
      <c r="AD25" s="17"/>
      <c r="AE25" s="35"/>
      <c r="AF25" s="17"/>
      <c r="AG25" s="35">
        <f t="shared" si="3"/>
        <v>-2504938</v>
      </c>
      <c r="AH25" s="40"/>
      <c r="AI25" s="35">
        <v>2452387</v>
      </c>
      <c r="AJ25" s="40"/>
      <c r="AK25" s="35"/>
      <c r="AL25" s="17"/>
      <c r="AM25" s="35"/>
      <c r="AN25" s="17"/>
      <c r="AO25" s="35"/>
      <c r="AP25" s="17"/>
      <c r="AQ25" s="35">
        <f t="shared" si="4"/>
        <v>-52551</v>
      </c>
      <c r="AR25" s="40"/>
      <c r="AS25" s="17">
        <v>0</v>
      </c>
      <c r="AT25" s="17"/>
      <c r="AU25" s="17">
        <v>0</v>
      </c>
      <c r="AV25" s="17"/>
      <c r="AW25" s="35">
        <f t="shared" si="5"/>
        <v>1538550</v>
      </c>
      <c r="AX25" s="17"/>
      <c r="AY25" s="81" t="s">
        <v>23</v>
      </c>
      <c r="AZ25" s="17"/>
      <c r="BA25" s="35"/>
      <c r="BB25" s="17"/>
      <c r="BC25" s="35"/>
      <c r="BD25" s="17"/>
      <c r="BE25" s="35"/>
      <c r="BF25" s="17"/>
      <c r="BG25" s="35"/>
      <c r="BH25" s="17"/>
      <c r="BI25" s="17"/>
      <c r="BJ25" s="17"/>
      <c r="BK25" s="35">
        <f t="shared" si="6"/>
        <v>0</v>
      </c>
      <c r="BL25" s="79"/>
    </row>
    <row r="26" spans="1:64" ht="12.75" hidden="1">
      <c r="A26" s="77" t="s">
        <v>24</v>
      </c>
      <c r="B26" s="77"/>
      <c r="C26" s="35">
        <f t="shared" si="7"/>
        <v>0</v>
      </c>
      <c r="D26" s="35"/>
      <c r="E26" s="35"/>
      <c r="F26" s="35"/>
      <c r="G26" s="35"/>
      <c r="H26" s="35"/>
      <c r="I26" s="35">
        <f t="shared" si="0"/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>
        <f t="shared" si="1"/>
        <v>0</v>
      </c>
      <c r="V26" s="35"/>
      <c r="W26" s="35">
        <f t="shared" si="2"/>
        <v>0</v>
      </c>
      <c r="X26" s="35"/>
      <c r="Y26" s="81" t="s">
        <v>24</v>
      </c>
      <c r="Z26" s="35"/>
      <c r="AA26" s="35"/>
      <c r="AB26" s="17"/>
      <c r="AC26" s="35"/>
      <c r="AD26" s="17"/>
      <c r="AE26" s="35"/>
      <c r="AF26" s="17"/>
      <c r="AG26" s="35">
        <f t="shared" si="3"/>
        <v>0</v>
      </c>
      <c r="AH26" s="40"/>
      <c r="AI26" s="35"/>
      <c r="AJ26" s="40"/>
      <c r="AK26" s="35"/>
      <c r="AL26" s="17"/>
      <c r="AM26" s="35"/>
      <c r="AN26" s="17"/>
      <c r="AO26" s="35"/>
      <c r="AP26" s="17"/>
      <c r="AQ26" s="35">
        <f t="shared" si="4"/>
        <v>0</v>
      </c>
      <c r="AR26" s="40"/>
      <c r="AS26" s="17">
        <v>0</v>
      </c>
      <c r="AT26" s="17"/>
      <c r="AU26" s="17">
        <v>0</v>
      </c>
      <c r="AV26" s="17"/>
      <c r="AW26" s="35">
        <f t="shared" si="5"/>
        <v>0</v>
      </c>
      <c r="AX26" s="17"/>
      <c r="AY26" s="81" t="s">
        <v>24</v>
      </c>
      <c r="AZ26" s="17"/>
      <c r="BA26" s="35"/>
      <c r="BB26" s="17"/>
      <c r="BC26" s="35"/>
      <c r="BD26" s="17"/>
      <c r="BE26" s="35"/>
      <c r="BF26" s="17"/>
      <c r="BG26" s="35"/>
      <c r="BH26" s="17"/>
      <c r="BI26" s="17"/>
      <c r="BJ26" s="17"/>
      <c r="BK26" s="35">
        <f t="shared" si="6"/>
        <v>0</v>
      </c>
      <c r="BL26" s="79"/>
    </row>
    <row r="27" spans="1:64" ht="12.75">
      <c r="A27" s="77" t="s">
        <v>241</v>
      </c>
      <c r="B27" s="77"/>
      <c r="C27" s="35">
        <f t="shared" si="7"/>
        <v>204970</v>
      </c>
      <c r="D27" s="35"/>
      <c r="E27" s="35">
        <v>1636609</v>
      </c>
      <c r="F27" s="35"/>
      <c r="G27" s="35">
        <v>1841579</v>
      </c>
      <c r="H27" s="35"/>
      <c r="I27" s="35">
        <f t="shared" si="0"/>
        <v>17670</v>
      </c>
      <c r="J27" s="35"/>
      <c r="K27" s="35">
        <v>530039</v>
      </c>
      <c r="L27" s="35"/>
      <c r="M27" s="35">
        <v>547709</v>
      </c>
      <c r="N27" s="35"/>
      <c r="O27" s="35">
        <v>1174473</v>
      </c>
      <c r="P27" s="35"/>
      <c r="Q27" s="35">
        <v>0</v>
      </c>
      <c r="R27" s="35"/>
      <c r="S27" s="35">
        <v>119397</v>
      </c>
      <c r="T27" s="35"/>
      <c r="U27" s="35">
        <f t="shared" si="1"/>
        <v>1293870</v>
      </c>
      <c r="V27" s="35"/>
      <c r="W27" s="35">
        <f t="shared" si="2"/>
        <v>0</v>
      </c>
      <c r="X27" s="35"/>
      <c r="Y27" s="81" t="s">
        <v>178</v>
      </c>
      <c r="Z27" s="35"/>
      <c r="AA27" s="35">
        <v>220626</v>
      </c>
      <c r="AB27" s="17"/>
      <c r="AC27" s="35">
        <f>164744-59894</f>
        <v>104850</v>
      </c>
      <c r="AD27" s="17"/>
      <c r="AE27" s="35">
        <v>59894</v>
      </c>
      <c r="AF27" s="17"/>
      <c r="AG27" s="35">
        <f t="shared" si="3"/>
        <v>55882</v>
      </c>
      <c r="AH27" s="40"/>
      <c r="AI27" s="35">
        <v>-36450</v>
      </c>
      <c r="AJ27" s="40"/>
      <c r="AK27" s="35">
        <v>0</v>
      </c>
      <c r="AL27" s="17"/>
      <c r="AM27" s="35">
        <v>0</v>
      </c>
      <c r="AN27" s="17"/>
      <c r="AO27" s="35">
        <v>0</v>
      </c>
      <c r="AP27" s="17"/>
      <c r="AQ27" s="35">
        <f t="shared" si="4"/>
        <v>19432</v>
      </c>
      <c r="AR27" s="40"/>
      <c r="AS27" s="17">
        <v>0</v>
      </c>
      <c r="AT27" s="17"/>
      <c r="AU27" s="17">
        <v>0</v>
      </c>
      <c r="AV27" s="17"/>
      <c r="AW27" s="35">
        <f t="shared" si="5"/>
        <v>187300</v>
      </c>
      <c r="AX27" s="17"/>
      <c r="AY27" s="81" t="s">
        <v>178</v>
      </c>
      <c r="AZ27" s="17"/>
      <c r="BA27" s="35">
        <v>494094</v>
      </c>
      <c r="BB27" s="17"/>
      <c r="BC27" s="35">
        <v>0</v>
      </c>
      <c r="BD27" s="17"/>
      <c r="BE27" s="35">
        <v>35945</v>
      </c>
      <c r="BF27" s="17"/>
      <c r="BG27" s="35">
        <v>0</v>
      </c>
      <c r="BH27" s="17"/>
      <c r="BI27" s="17"/>
      <c r="BJ27" s="17"/>
      <c r="BK27" s="35">
        <f t="shared" si="6"/>
        <v>530039</v>
      </c>
      <c r="BL27" s="79"/>
    </row>
    <row r="28" spans="1:64" ht="12.75" hidden="1">
      <c r="A28" s="77" t="s">
        <v>25</v>
      </c>
      <c r="B28" s="77"/>
      <c r="C28" s="35">
        <f t="shared" si="7"/>
        <v>0</v>
      </c>
      <c r="D28" s="35"/>
      <c r="E28" s="35"/>
      <c r="F28" s="35"/>
      <c r="G28" s="35"/>
      <c r="H28" s="35"/>
      <c r="I28" s="35">
        <f t="shared" si="0"/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>
        <f t="shared" si="1"/>
        <v>0</v>
      </c>
      <c r="V28" s="35"/>
      <c r="W28" s="35">
        <f t="shared" si="2"/>
        <v>0</v>
      </c>
      <c r="X28" s="35"/>
      <c r="Y28" s="81" t="s">
        <v>25</v>
      </c>
      <c r="Z28" s="35"/>
      <c r="AA28" s="35"/>
      <c r="AB28" s="17"/>
      <c r="AC28" s="35"/>
      <c r="AD28" s="17"/>
      <c r="AE28" s="35"/>
      <c r="AF28" s="17"/>
      <c r="AG28" s="35">
        <f t="shared" si="3"/>
        <v>0</v>
      </c>
      <c r="AH28" s="40"/>
      <c r="AI28" s="35"/>
      <c r="AJ28" s="40"/>
      <c r="AK28" s="35"/>
      <c r="AL28" s="17"/>
      <c r="AM28" s="152"/>
      <c r="AN28" s="17"/>
      <c r="AO28" s="35"/>
      <c r="AP28" s="17"/>
      <c r="AQ28" s="35">
        <f t="shared" si="4"/>
        <v>0</v>
      </c>
      <c r="AR28" s="40"/>
      <c r="AS28" s="17">
        <v>0</v>
      </c>
      <c r="AT28" s="17"/>
      <c r="AU28" s="17">
        <v>0</v>
      </c>
      <c r="AV28" s="17"/>
      <c r="AW28" s="35">
        <f t="shared" si="5"/>
        <v>0</v>
      </c>
      <c r="AX28" s="17"/>
      <c r="AY28" s="81" t="s">
        <v>25</v>
      </c>
      <c r="AZ28" s="17"/>
      <c r="BA28" s="35"/>
      <c r="BB28" s="17"/>
      <c r="BC28" s="35"/>
      <c r="BD28" s="17"/>
      <c r="BE28" s="35"/>
      <c r="BF28" s="17"/>
      <c r="BG28" s="35"/>
      <c r="BH28" s="17"/>
      <c r="BI28" s="17"/>
      <c r="BJ28" s="17"/>
      <c r="BK28" s="35">
        <f t="shared" si="6"/>
        <v>0</v>
      </c>
      <c r="BL28" s="79"/>
    </row>
    <row r="29" spans="1:64" ht="12.75" hidden="1">
      <c r="A29" s="77" t="s">
        <v>26</v>
      </c>
      <c r="B29" s="77"/>
      <c r="C29" s="35">
        <f aca="true" t="shared" si="8" ref="C29:C77">+G29-E29</f>
        <v>0</v>
      </c>
      <c r="D29" s="35"/>
      <c r="E29" s="35"/>
      <c r="F29" s="35"/>
      <c r="G29" s="35"/>
      <c r="H29" s="35"/>
      <c r="I29" s="35">
        <f aca="true" t="shared" si="9" ref="I29:I77">M29-K29</f>
        <v>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>
        <f aca="true" t="shared" si="10" ref="U29:U77">SUM(O29:S29)</f>
        <v>0</v>
      </c>
      <c r="V29" s="35"/>
      <c r="W29" s="35">
        <f aca="true" t="shared" si="11" ref="W29:W93">+G29-M29-U29</f>
        <v>0</v>
      </c>
      <c r="X29" s="35"/>
      <c r="Y29" s="81" t="s">
        <v>26</v>
      </c>
      <c r="Z29" s="35"/>
      <c r="AA29" s="35"/>
      <c r="AB29" s="17"/>
      <c r="AC29" s="35"/>
      <c r="AD29" s="17"/>
      <c r="AE29" s="35"/>
      <c r="AF29" s="17"/>
      <c r="AG29" s="35">
        <f aca="true" t="shared" si="12" ref="AG29:AG93">+AA29-AC29-AE29</f>
        <v>0</v>
      </c>
      <c r="AH29" s="40"/>
      <c r="AI29" s="35"/>
      <c r="AJ29" s="40"/>
      <c r="AK29" s="35"/>
      <c r="AL29" s="17"/>
      <c r="AM29" s="35"/>
      <c r="AN29" s="17"/>
      <c r="AO29" s="35"/>
      <c r="AP29" s="17"/>
      <c r="AQ29" s="35">
        <f>+AO29+AK29-AM29+AI29+AG29</f>
        <v>0</v>
      </c>
      <c r="AR29" s="40"/>
      <c r="AS29" s="17">
        <v>0</v>
      </c>
      <c r="AT29" s="17"/>
      <c r="AU29" s="17">
        <v>0</v>
      </c>
      <c r="AV29" s="17"/>
      <c r="AW29" s="35">
        <f aca="true" t="shared" si="13" ref="AW29:AW93">+C29-I29</f>
        <v>0</v>
      </c>
      <c r="AX29" s="17"/>
      <c r="AY29" s="160" t="s">
        <v>26</v>
      </c>
      <c r="AZ29" s="161"/>
      <c r="BA29" s="162"/>
      <c r="BB29" s="161"/>
      <c r="BC29" s="162"/>
      <c r="BD29" s="161"/>
      <c r="BE29" s="162"/>
      <c r="BF29" s="161"/>
      <c r="BG29" s="162"/>
      <c r="BH29" s="161"/>
      <c r="BI29" s="161"/>
      <c r="BJ29" s="161"/>
      <c r="BK29" s="162">
        <f aca="true" t="shared" si="14" ref="BK29:BK93">SUM(BA29:BI29)</f>
        <v>0</v>
      </c>
      <c r="BL29" s="79"/>
    </row>
    <row r="30" spans="1:64" ht="12.75">
      <c r="A30" s="77" t="s">
        <v>27</v>
      </c>
      <c r="B30" s="77"/>
      <c r="C30" s="35">
        <f t="shared" si="8"/>
        <v>816489</v>
      </c>
      <c r="D30" s="35"/>
      <c r="E30" s="35">
        <v>10699135</v>
      </c>
      <c r="F30" s="35"/>
      <c r="G30" s="35">
        <v>11515624</v>
      </c>
      <c r="H30" s="35"/>
      <c r="I30" s="35">
        <f t="shared" si="9"/>
        <v>96530</v>
      </c>
      <c r="J30" s="35"/>
      <c r="K30" s="35">
        <v>141847</v>
      </c>
      <c r="L30" s="35"/>
      <c r="M30" s="35">
        <v>238377</v>
      </c>
      <c r="N30" s="35"/>
      <c r="O30" s="35">
        <v>10580635</v>
      </c>
      <c r="P30" s="35"/>
      <c r="Q30" s="35">
        <v>0</v>
      </c>
      <c r="R30" s="35"/>
      <c r="S30" s="35">
        <v>696612</v>
      </c>
      <c r="T30" s="35"/>
      <c r="U30" s="35">
        <f t="shared" si="10"/>
        <v>11277247</v>
      </c>
      <c r="V30" s="35"/>
      <c r="W30" s="35">
        <f t="shared" si="11"/>
        <v>0</v>
      </c>
      <c r="X30" s="35"/>
      <c r="Y30" s="81" t="s">
        <v>27</v>
      </c>
      <c r="Z30" s="35"/>
      <c r="AA30" s="35">
        <v>539020</v>
      </c>
      <c r="AB30" s="17"/>
      <c r="AC30" s="35">
        <f>721831-186761</f>
        <v>535070</v>
      </c>
      <c r="AD30" s="17"/>
      <c r="AE30" s="35">
        <v>186761</v>
      </c>
      <c r="AF30" s="17"/>
      <c r="AG30" s="35">
        <f t="shared" si="12"/>
        <v>-182811</v>
      </c>
      <c r="AH30" s="40"/>
      <c r="AI30" s="35">
        <v>-51981</v>
      </c>
      <c r="AJ30" s="40"/>
      <c r="AK30" s="35">
        <v>0</v>
      </c>
      <c r="AL30" s="17"/>
      <c r="AM30" s="35">
        <v>395062</v>
      </c>
      <c r="AN30" s="17"/>
      <c r="AO30" s="35">
        <v>3276439</v>
      </c>
      <c r="AP30" s="17"/>
      <c r="AQ30" s="35">
        <f aca="true" t="shared" si="15" ref="AQ30:AQ93">+AO30+AK30-AM30+AI30+AG30</f>
        <v>2646585</v>
      </c>
      <c r="AR30" s="40"/>
      <c r="AS30" s="17">
        <v>0</v>
      </c>
      <c r="AT30" s="17"/>
      <c r="AU30" s="17">
        <v>0</v>
      </c>
      <c r="AV30" s="17"/>
      <c r="AW30" s="35">
        <f t="shared" si="13"/>
        <v>719959</v>
      </c>
      <c r="AX30" s="17"/>
      <c r="AY30" s="81" t="s">
        <v>27</v>
      </c>
      <c r="AZ30" s="17"/>
      <c r="BA30" s="35">
        <v>0</v>
      </c>
      <c r="BB30" s="17"/>
      <c r="BC30" s="35">
        <f>55700+56000</f>
        <v>111700</v>
      </c>
      <c r="BD30" s="17"/>
      <c r="BE30" s="35">
        <v>0</v>
      </c>
      <c r="BF30" s="17"/>
      <c r="BG30" s="35">
        <v>30147</v>
      </c>
      <c r="BH30" s="17"/>
      <c r="BI30" s="17"/>
      <c r="BJ30" s="17"/>
      <c r="BK30" s="35">
        <f t="shared" si="14"/>
        <v>141847</v>
      </c>
      <c r="BL30" s="79"/>
    </row>
    <row r="31" spans="1:64" ht="12.75">
      <c r="A31" s="77" t="s">
        <v>28</v>
      </c>
      <c r="B31" s="77"/>
      <c r="C31" s="35">
        <f t="shared" si="8"/>
        <v>31007079</v>
      </c>
      <c r="D31" s="35"/>
      <c r="E31" s="35">
        <v>197954219</v>
      </c>
      <c r="F31" s="35"/>
      <c r="G31" s="35">
        <v>228961298</v>
      </c>
      <c r="H31" s="35"/>
      <c r="I31" s="35">
        <f t="shared" si="9"/>
        <v>4389343</v>
      </c>
      <c r="J31" s="35"/>
      <c r="K31" s="35">
        <v>25791172</v>
      </c>
      <c r="L31" s="35"/>
      <c r="M31" s="35">
        <v>30180515</v>
      </c>
      <c r="N31" s="35"/>
      <c r="O31" s="35">
        <v>169789825</v>
      </c>
      <c r="P31" s="35"/>
      <c r="Q31" s="35">
        <f>500000+2842000</f>
        <v>3342000</v>
      </c>
      <c r="R31" s="35"/>
      <c r="S31" s="35">
        <v>25648958</v>
      </c>
      <c r="T31" s="35"/>
      <c r="U31" s="35">
        <f t="shared" si="10"/>
        <v>198780783</v>
      </c>
      <c r="V31" s="35"/>
      <c r="W31" s="35">
        <f t="shared" si="11"/>
        <v>0</v>
      </c>
      <c r="X31" s="35"/>
      <c r="Y31" s="81" t="s">
        <v>28</v>
      </c>
      <c r="Z31" s="35"/>
      <c r="AA31" s="35">
        <v>12742844</v>
      </c>
      <c r="AB31" s="17"/>
      <c r="AC31" s="35">
        <f>12522803-3873335</f>
        <v>8649468</v>
      </c>
      <c r="AD31" s="17"/>
      <c r="AE31" s="35">
        <v>3873335</v>
      </c>
      <c r="AF31" s="17"/>
      <c r="AG31" s="35">
        <f t="shared" si="12"/>
        <v>220041</v>
      </c>
      <c r="AH31" s="40"/>
      <c r="AI31" s="35">
        <v>-1449771</v>
      </c>
      <c r="AJ31" s="40"/>
      <c r="AK31" s="35">
        <v>0</v>
      </c>
      <c r="AL31" s="17"/>
      <c r="AM31" s="35">
        <v>0</v>
      </c>
      <c r="AN31" s="17"/>
      <c r="AO31" s="35">
        <v>4023131</v>
      </c>
      <c r="AP31" s="17"/>
      <c r="AQ31" s="35">
        <f t="shared" si="15"/>
        <v>2793401</v>
      </c>
      <c r="AR31" s="40"/>
      <c r="AS31" s="17">
        <v>0</v>
      </c>
      <c r="AT31" s="17"/>
      <c r="AU31" s="17">
        <v>0</v>
      </c>
      <c r="AV31" s="17"/>
      <c r="AW31" s="35">
        <f t="shared" si="13"/>
        <v>26617736</v>
      </c>
      <c r="AX31" s="17"/>
      <c r="AY31" s="81" t="s">
        <v>28</v>
      </c>
      <c r="AZ31" s="17"/>
      <c r="BA31" s="35">
        <v>690678</v>
      </c>
      <c r="BB31" s="17"/>
      <c r="BC31" s="35">
        <v>24959394</v>
      </c>
      <c r="BD31" s="17"/>
      <c r="BE31" s="35">
        <v>0</v>
      </c>
      <c r="BF31" s="17"/>
      <c r="BG31" s="35">
        <v>141100</v>
      </c>
      <c r="BH31" s="17"/>
      <c r="BI31" s="17"/>
      <c r="BJ31" s="17"/>
      <c r="BK31" s="35">
        <f t="shared" si="14"/>
        <v>25791172</v>
      </c>
      <c r="BL31" s="79"/>
    </row>
    <row r="32" spans="1:64" ht="12.75">
      <c r="A32" s="77" t="s">
        <v>29</v>
      </c>
      <c r="B32" s="77"/>
      <c r="C32" s="35">
        <f t="shared" si="8"/>
        <v>2627845</v>
      </c>
      <c r="D32" s="35"/>
      <c r="E32" s="35">
        <v>67055620</v>
      </c>
      <c r="F32" s="35"/>
      <c r="G32" s="35">
        <v>69683465</v>
      </c>
      <c r="H32" s="35"/>
      <c r="I32" s="35">
        <f t="shared" si="9"/>
        <v>2635682</v>
      </c>
      <c r="J32" s="35"/>
      <c r="K32" s="35">
        <v>40578810</v>
      </c>
      <c r="L32" s="35"/>
      <c r="M32" s="35">
        <v>43214492</v>
      </c>
      <c r="N32" s="35"/>
      <c r="O32" s="35">
        <v>38559933</v>
      </c>
      <c r="P32" s="35"/>
      <c r="Q32" s="35">
        <v>0</v>
      </c>
      <c r="R32" s="35"/>
      <c r="S32" s="35">
        <v>-12090960</v>
      </c>
      <c r="T32" s="35"/>
      <c r="U32" s="35">
        <f t="shared" si="10"/>
        <v>26468973</v>
      </c>
      <c r="V32" s="35"/>
      <c r="W32" s="35">
        <f t="shared" si="11"/>
        <v>0</v>
      </c>
      <c r="X32" s="35"/>
      <c r="Y32" s="81" t="s">
        <v>29</v>
      </c>
      <c r="Z32" s="35"/>
      <c r="AA32" s="35">
        <v>6814951</v>
      </c>
      <c r="AB32" s="17"/>
      <c r="AC32" s="35">
        <f>7166264-2441708</f>
        <v>4724556</v>
      </c>
      <c r="AD32" s="17"/>
      <c r="AE32" s="35">
        <v>2441708</v>
      </c>
      <c r="AF32" s="17"/>
      <c r="AG32" s="35">
        <f t="shared" si="12"/>
        <v>-351313</v>
      </c>
      <c r="AH32" s="40"/>
      <c r="AI32" s="35">
        <v>150351</v>
      </c>
      <c r="AJ32" s="40"/>
      <c r="AK32" s="35">
        <v>0</v>
      </c>
      <c r="AL32" s="17"/>
      <c r="AM32" s="35">
        <v>0</v>
      </c>
      <c r="AN32" s="17"/>
      <c r="AO32" s="35">
        <v>0</v>
      </c>
      <c r="AP32" s="17"/>
      <c r="AQ32" s="35">
        <f t="shared" si="15"/>
        <v>-200962</v>
      </c>
      <c r="AR32" s="40"/>
      <c r="AS32" s="17">
        <v>0</v>
      </c>
      <c r="AT32" s="17"/>
      <c r="AU32" s="17">
        <v>0</v>
      </c>
      <c r="AV32" s="17"/>
      <c r="AW32" s="35">
        <f t="shared" si="13"/>
        <v>-7837</v>
      </c>
      <c r="AX32" s="17"/>
      <c r="AY32" s="81" t="s">
        <v>29</v>
      </c>
      <c r="AZ32" s="17"/>
      <c r="BA32" s="35">
        <v>3291943</v>
      </c>
      <c r="BB32" s="17"/>
      <c r="BC32" s="35">
        <v>0</v>
      </c>
      <c r="BD32" s="17"/>
      <c r="BE32" s="35">
        <f>85462+36347165</f>
        <v>36432627</v>
      </c>
      <c r="BF32" s="17"/>
      <c r="BG32" s="35">
        <f>762062+92178</f>
        <v>854240</v>
      </c>
      <c r="BH32" s="17"/>
      <c r="BI32" s="17"/>
      <c r="BJ32" s="17"/>
      <c r="BK32" s="35">
        <f t="shared" si="14"/>
        <v>40578810</v>
      </c>
      <c r="BL32" s="79"/>
    </row>
    <row r="33" spans="1:75" ht="12.75">
      <c r="A33" s="77" t="s">
        <v>30</v>
      </c>
      <c r="B33" s="77"/>
      <c r="C33" s="35">
        <f t="shared" si="8"/>
        <v>6228525</v>
      </c>
      <c r="D33" s="35"/>
      <c r="E33" s="35">
        <v>30120305</v>
      </c>
      <c r="F33" s="35"/>
      <c r="G33" s="35">
        <v>36348830</v>
      </c>
      <c r="H33" s="35"/>
      <c r="I33" s="35">
        <f t="shared" si="9"/>
        <v>1410010</v>
      </c>
      <c r="J33" s="35"/>
      <c r="K33" s="35">
        <v>11935756</v>
      </c>
      <c r="L33" s="35"/>
      <c r="M33" s="35">
        <v>13345766</v>
      </c>
      <c r="N33" s="35"/>
      <c r="O33" s="35">
        <v>18715057</v>
      </c>
      <c r="P33" s="35"/>
      <c r="Q33" s="35">
        <v>0</v>
      </c>
      <c r="R33" s="35"/>
      <c r="S33" s="35">
        <v>4288007</v>
      </c>
      <c r="T33" s="35"/>
      <c r="U33" s="35">
        <f t="shared" si="10"/>
        <v>23003064</v>
      </c>
      <c r="V33" s="35"/>
      <c r="W33" s="35">
        <f t="shared" si="11"/>
        <v>0</v>
      </c>
      <c r="X33" s="35"/>
      <c r="Y33" s="81" t="s">
        <v>30</v>
      </c>
      <c r="Z33" s="35"/>
      <c r="AA33" s="35">
        <v>3468251</v>
      </c>
      <c r="AB33" s="17"/>
      <c r="AC33" s="35">
        <f>2757234-867256</f>
        <v>1889978</v>
      </c>
      <c r="AD33" s="17"/>
      <c r="AE33" s="35">
        <v>867256</v>
      </c>
      <c r="AF33" s="17"/>
      <c r="AG33" s="35">
        <f t="shared" si="12"/>
        <v>711017</v>
      </c>
      <c r="AH33" s="40"/>
      <c r="AI33" s="35">
        <v>-538033</v>
      </c>
      <c r="AJ33" s="40"/>
      <c r="AK33" s="35">
        <v>0</v>
      </c>
      <c r="AL33" s="17"/>
      <c r="AM33" s="35">
        <v>0</v>
      </c>
      <c r="AN33" s="17"/>
      <c r="AO33" s="35">
        <v>939458</v>
      </c>
      <c r="AP33" s="17"/>
      <c r="AQ33" s="35">
        <f t="shared" si="15"/>
        <v>1112442</v>
      </c>
      <c r="AR33" s="40"/>
      <c r="AS33" s="17">
        <v>0</v>
      </c>
      <c r="AT33" s="17"/>
      <c r="AU33" s="17">
        <v>0</v>
      </c>
      <c r="AV33" s="17"/>
      <c r="AW33" s="35">
        <f t="shared" si="13"/>
        <v>4818515</v>
      </c>
      <c r="AX33" s="17"/>
      <c r="AY33" s="81" t="s">
        <v>30</v>
      </c>
      <c r="AZ33" s="17"/>
      <c r="BA33" s="35">
        <v>11331101</v>
      </c>
      <c r="BB33" s="17"/>
      <c r="BC33" s="35">
        <v>0</v>
      </c>
      <c r="BD33" s="17"/>
      <c r="BE33" s="35">
        <f>342235+49206</f>
        <v>391441</v>
      </c>
      <c r="BF33" s="17"/>
      <c r="BG33" s="35">
        <f>166391+43404+3419</f>
        <v>213214</v>
      </c>
      <c r="BH33" s="17"/>
      <c r="BI33" s="17"/>
      <c r="BJ33" s="17"/>
      <c r="BK33" s="35">
        <f t="shared" si="14"/>
        <v>11935756</v>
      </c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</row>
    <row r="34" spans="1:64" ht="12.75" hidden="1">
      <c r="A34" s="77" t="s">
        <v>237</v>
      </c>
      <c r="B34" s="77"/>
      <c r="C34" s="35">
        <f t="shared" si="8"/>
        <v>0</v>
      </c>
      <c r="D34" s="35"/>
      <c r="E34" s="35"/>
      <c r="F34" s="35"/>
      <c r="G34" s="35"/>
      <c r="H34" s="35"/>
      <c r="I34" s="35">
        <f t="shared" si="9"/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>
        <f t="shared" si="10"/>
        <v>0</v>
      </c>
      <c r="V34" s="35"/>
      <c r="W34" s="35">
        <f t="shared" si="11"/>
        <v>0</v>
      </c>
      <c r="X34" s="35"/>
      <c r="Y34" s="81" t="s">
        <v>237</v>
      </c>
      <c r="Z34" s="35"/>
      <c r="AA34" s="35"/>
      <c r="AB34" s="17"/>
      <c r="AC34" s="35"/>
      <c r="AD34" s="17"/>
      <c r="AE34" s="35"/>
      <c r="AF34" s="17"/>
      <c r="AG34" s="35">
        <f t="shared" si="12"/>
        <v>0</v>
      </c>
      <c r="AH34" s="40"/>
      <c r="AI34" s="35"/>
      <c r="AJ34" s="40"/>
      <c r="AK34" s="35"/>
      <c r="AL34" s="17"/>
      <c r="AM34" s="35"/>
      <c r="AN34" s="17"/>
      <c r="AO34" s="35"/>
      <c r="AP34" s="17"/>
      <c r="AQ34" s="35">
        <f t="shared" si="15"/>
        <v>0</v>
      </c>
      <c r="AR34" s="40"/>
      <c r="AS34" s="17">
        <v>0</v>
      </c>
      <c r="AT34" s="17"/>
      <c r="AU34" s="17">
        <v>0</v>
      </c>
      <c r="AV34" s="17"/>
      <c r="AW34" s="35">
        <f t="shared" si="13"/>
        <v>0</v>
      </c>
      <c r="AX34" s="35"/>
      <c r="AY34" s="81" t="s">
        <v>237</v>
      </c>
      <c r="AZ34" s="35"/>
      <c r="BA34" s="35"/>
      <c r="BB34" s="17"/>
      <c r="BC34" s="35"/>
      <c r="BD34" s="17"/>
      <c r="BE34" s="35"/>
      <c r="BF34" s="17"/>
      <c r="BG34" s="35"/>
      <c r="BH34" s="17"/>
      <c r="BI34" s="17"/>
      <c r="BJ34" s="17"/>
      <c r="BK34" s="35">
        <f t="shared" si="14"/>
        <v>0</v>
      </c>
      <c r="BL34" s="79"/>
    </row>
    <row r="35" spans="1:64" ht="12.75" hidden="1">
      <c r="A35" s="77" t="s">
        <v>32</v>
      </c>
      <c r="B35" s="77"/>
      <c r="C35" s="35">
        <f t="shared" si="8"/>
        <v>0</v>
      </c>
      <c r="D35" s="35"/>
      <c r="E35" s="35"/>
      <c r="F35" s="35"/>
      <c r="G35" s="35"/>
      <c r="H35" s="35"/>
      <c r="I35" s="35">
        <f t="shared" si="9"/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>
        <f t="shared" si="10"/>
        <v>0</v>
      </c>
      <c r="V35" s="35"/>
      <c r="W35" s="35">
        <f t="shared" si="11"/>
        <v>0</v>
      </c>
      <c r="X35" s="35"/>
      <c r="Y35" s="81" t="s">
        <v>32</v>
      </c>
      <c r="Z35" s="35"/>
      <c r="AA35" s="35"/>
      <c r="AB35" s="17"/>
      <c r="AC35" s="35"/>
      <c r="AD35" s="17"/>
      <c r="AE35" s="35"/>
      <c r="AF35" s="17"/>
      <c r="AG35" s="35">
        <f t="shared" si="12"/>
        <v>0</v>
      </c>
      <c r="AH35" s="40"/>
      <c r="AI35" s="35"/>
      <c r="AJ35" s="40"/>
      <c r="AK35" s="35"/>
      <c r="AL35" s="17"/>
      <c r="AM35" s="35"/>
      <c r="AN35" s="17"/>
      <c r="AO35" s="35"/>
      <c r="AP35" s="17"/>
      <c r="AQ35" s="35">
        <f t="shared" si="15"/>
        <v>0</v>
      </c>
      <c r="AR35" s="40"/>
      <c r="AS35" s="17">
        <v>0</v>
      </c>
      <c r="AT35" s="17"/>
      <c r="AU35" s="17">
        <v>0</v>
      </c>
      <c r="AV35" s="17"/>
      <c r="AW35" s="35">
        <f t="shared" si="13"/>
        <v>0</v>
      </c>
      <c r="AX35" s="35"/>
      <c r="AY35" s="81" t="s">
        <v>32</v>
      </c>
      <c r="AZ35" s="35"/>
      <c r="BA35" s="35"/>
      <c r="BB35" s="17"/>
      <c r="BC35" s="35"/>
      <c r="BD35" s="17"/>
      <c r="BE35" s="35"/>
      <c r="BF35" s="17"/>
      <c r="BG35" s="35"/>
      <c r="BH35" s="17"/>
      <c r="BI35" s="17"/>
      <c r="BJ35" s="17"/>
      <c r="BK35" s="35">
        <f t="shared" si="14"/>
        <v>0</v>
      </c>
      <c r="BL35" s="79"/>
    </row>
    <row r="36" spans="1:64" ht="12.75">
      <c r="A36" s="77" t="s">
        <v>33</v>
      </c>
      <c r="B36" s="77"/>
      <c r="C36" s="35">
        <f t="shared" si="8"/>
        <v>1253239</v>
      </c>
      <c r="D36" s="35"/>
      <c r="E36" s="35">
        <v>5703276</v>
      </c>
      <c r="F36" s="35"/>
      <c r="G36" s="35">
        <v>6956515</v>
      </c>
      <c r="H36" s="35"/>
      <c r="I36" s="35">
        <f t="shared" si="9"/>
        <v>252633</v>
      </c>
      <c r="J36" s="35"/>
      <c r="K36" s="35">
        <v>513367</v>
      </c>
      <c r="L36" s="35"/>
      <c r="M36" s="35">
        <v>766000</v>
      </c>
      <c r="N36" s="35"/>
      <c r="O36" s="35">
        <v>5231244</v>
      </c>
      <c r="P36" s="35"/>
      <c r="Q36" s="35">
        <v>0</v>
      </c>
      <c r="R36" s="35"/>
      <c r="S36" s="35">
        <v>959271</v>
      </c>
      <c r="T36" s="35"/>
      <c r="U36" s="35">
        <f t="shared" si="10"/>
        <v>6190515</v>
      </c>
      <c r="V36" s="35"/>
      <c r="W36" s="35">
        <f t="shared" si="11"/>
        <v>0</v>
      </c>
      <c r="X36" s="35"/>
      <c r="Y36" s="81" t="s">
        <v>33</v>
      </c>
      <c r="Z36" s="35"/>
      <c r="AA36" s="35">
        <v>388567</v>
      </c>
      <c r="AB36" s="17"/>
      <c r="AC36" s="35">
        <f>526365-163789</f>
        <v>362576</v>
      </c>
      <c r="AD36" s="17"/>
      <c r="AE36" s="35">
        <v>163789</v>
      </c>
      <c r="AF36" s="17"/>
      <c r="AG36" s="35">
        <f t="shared" si="12"/>
        <v>-137798</v>
      </c>
      <c r="AH36" s="40"/>
      <c r="AI36" s="35">
        <v>-10798</v>
      </c>
      <c r="AJ36" s="40"/>
      <c r="AK36" s="35">
        <v>0</v>
      </c>
      <c r="AL36" s="17"/>
      <c r="AM36" s="35">
        <v>0</v>
      </c>
      <c r="AN36" s="17"/>
      <c r="AO36" s="35">
        <v>180193</v>
      </c>
      <c r="AP36" s="17"/>
      <c r="AQ36" s="35">
        <f t="shared" si="15"/>
        <v>31597</v>
      </c>
      <c r="AR36" s="40"/>
      <c r="AS36" s="17">
        <v>0</v>
      </c>
      <c r="AT36" s="17"/>
      <c r="AU36" s="17">
        <v>0</v>
      </c>
      <c r="AV36" s="17"/>
      <c r="AW36" s="35">
        <f t="shared" si="13"/>
        <v>1000606</v>
      </c>
      <c r="AX36" s="17"/>
      <c r="AY36" s="81" t="s">
        <v>33</v>
      </c>
      <c r="AZ36" s="17"/>
      <c r="BA36" s="35">
        <v>0</v>
      </c>
      <c r="BB36" s="17"/>
      <c r="BC36" s="35">
        <v>0</v>
      </c>
      <c r="BD36" s="17"/>
      <c r="BE36" s="35">
        <f>167840+30959</f>
        <v>198799</v>
      </c>
      <c r="BF36" s="17"/>
      <c r="BG36" s="35">
        <f>4999+309569</f>
        <v>314568</v>
      </c>
      <c r="BH36" s="17"/>
      <c r="BI36" s="17"/>
      <c r="BJ36" s="17"/>
      <c r="BK36" s="35">
        <f t="shared" si="14"/>
        <v>513367</v>
      </c>
      <c r="BL36" s="79"/>
    </row>
    <row r="37" spans="1:64" ht="12.75">
      <c r="A37" s="77" t="s">
        <v>34</v>
      </c>
      <c r="B37" s="77"/>
      <c r="C37" s="35">
        <f t="shared" si="8"/>
        <v>740229</v>
      </c>
      <c r="D37" s="35"/>
      <c r="E37" s="35">
        <v>10333759</v>
      </c>
      <c r="F37" s="35"/>
      <c r="G37" s="35">
        <v>11073988</v>
      </c>
      <c r="H37" s="35"/>
      <c r="I37" s="35">
        <f t="shared" si="9"/>
        <v>304902</v>
      </c>
      <c r="J37" s="35"/>
      <c r="K37" s="35">
        <v>5021370</v>
      </c>
      <c r="L37" s="35"/>
      <c r="M37" s="35">
        <v>5326272</v>
      </c>
      <c r="N37" s="35"/>
      <c r="O37" s="35">
        <v>5257771</v>
      </c>
      <c r="P37" s="35"/>
      <c r="Q37" s="35">
        <v>0</v>
      </c>
      <c r="R37" s="35"/>
      <c r="S37" s="35">
        <v>489945</v>
      </c>
      <c r="T37" s="35"/>
      <c r="U37" s="35">
        <f t="shared" si="10"/>
        <v>5747716</v>
      </c>
      <c r="V37" s="35"/>
      <c r="W37" s="35">
        <f t="shared" si="11"/>
        <v>0</v>
      </c>
      <c r="X37" s="35"/>
      <c r="Y37" s="81" t="s">
        <v>34</v>
      </c>
      <c r="Z37" s="35"/>
      <c r="AA37" s="35">
        <v>141667</v>
      </c>
      <c r="AB37" s="17"/>
      <c r="AC37" s="35">
        <f>771841-164584</f>
        <v>607257</v>
      </c>
      <c r="AD37" s="17"/>
      <c r="AE37" s="35">
        <v>164584</v>
      </c>
      <c r="AF37" s="17"/>
      <c r="AG37" s="35">
        <f t="shared" si="12"/>
        <v>-630174</v>
      </c>
      <c r="AH37" s="40"/>
      <c r="AI37" s="35">
        <v>-67848</v>
      </c>
      <c r="AJ37" s="40"/>
      <c r="AK37" s="35">
        <v>36625</v>
      </c>
      <c r="AL37" s="17"/>
      <c r="AM37" s="35">
        <v>0</v>
      </c>
      <c r="AN37" s="17"/>
      <c r="AO37" s="35">
        <v>344373</v>
      </c>
      <c r="AP37" s="17"/>
      <c r="AQ37" s="35">
        <f t="shared" si="15"/>
        <v>-317024</v>
      </c>
      <c r="AR37" s="40"/>
      <c r="AS37" s="17">
        <v>0</v>
      </c>
      <c r="AT37" s="17"/>
      <c r="AU37" s="17">
        <v>0</v>
      </c>
      <c r="AV37" s="17"/>
      <c r="AW37" s="35">
        <f t="shared" si="13"/>
        <v>435327</v>
      </c>
      <c r="AX37" s="17"/>
      <c r="AY37" s="81" t="s">
        <v>34</v>
      </c>
      <c r="AZ37" s="17"/>
      <c r="BA37" s="35">
        <v>0</v>
      </c>
      <c r="BB37" s="17"/>
      <c r="BC37" s="35">
        <v>1664200</v>
      </c>
      <c r="BD37" s="17"/>
      <c r="BE37" s="35">
        <f>402081+2953423</f>
        <v>3355504</v>
      </c>
      <c r="BF37" s="17"/>
      <c r="BG37" s="35">
        <v>1666</v>
      </c>
      <c r="BH37" s="17"/>
      <c r="BI37" s="17"/>
      <c r="BJ37" s="17"/>
      <c r="BK37" s="35">
        <f t="shared" si="14"/>
        <v>5021370</v>
      </c>
      <c r="BL37" s="79"/>
    </row>
    <row r="38" spans="1:64" ht="12.75" hidden="1">
      <c r="A38" s="77" t="s">
        <v>35</v>
      </c>
      <c r="B38" s="77"/>
      <c r="C38" s="35">
        <f t="shared" si="8"/>
        <v>0</v>
      </c>
      <c r="D38" s="35"/>
      <c r="E38" s="35"/>
      <c r="F38" s="35"/>
      <c r="G38" s="35"/>
      <c r="H38" s="35"/>
      <c r="I38" s="35">
        <f t="shared" si="9"/>
        <v>0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>
        <f t="shared" si="10"/>
        <v>0</v>
      </c>
      <c r="V38" s="35"/>
      <c r="W38" s="35">
        <f t="shared" si="11"/>
        <v>0</v>
      </c>
      <c r="X38" s="35"/>
      <c r="Y38" s="81" t="s">
        <v>35</v>
      </c>
      <c r="Z38" s="35"/>
      <c r="AA38" s="35"/>
      <c r="AB38" s="17"/>
      <c r="AC38" s="35"/>
      <c r="AD38" s="17"/>
      <c r="AE38" s="35"/>
      <c r="AF38" s="17"/>
      <c r="AG38" s="35">
        <f t="shared" si="12"/>
        <v>0</v>
      </c>
      <c r="AH38" s="40"/>
      <c r="AI38" s="35"/>
      <c r="AJ38" s="40"/>
      <c r="AK38" s="35"/>
      <c r="AL38" s="17"/>
      <c r="AM38" s="35"/>
      <c r="AN38" s="17"/>
      <c r="AO38" s="35"/>
      <c r="AP38" s="17"/>
      <c r="AQ38" s="35">
        <f t="shared" si="15"/>
        <v>0</v>
      </c>
      <c r="AR38" s="40"/>
      <c r="AS38" s="17">
        <v>0</v>
      </c>
      <c r="AT38" s="17"/>
      <c r="AU38" s="17">
        <v>0</v>
      </c>
      <c r="AV38" s="17"/>
      <c r="AW38" s="35">
        <f t="shared" si="13"/>
        <v>0</v>
      </c>
      <c r="AX38" s="35"/>
      <c r="AY38" s="81" t="s">
        <v>35</v>
      </c>
      <c r="AZ38" s="35"/>
      <c r="BA38" s="35"/>
      <c r="BB38" s="17"/>
      <c r="BC38" s="35"/>
      <c r="BD38" s="17"/>
      <c r="BE38" s="35"/>
      <c r="BF38" s="17"/>
      <c r="BG38" s="35"/>
      <c r="BH38" s="17"/>
      <c r="BI38" s="17"/>
      <c r="BJ38" s="17"/>
      <c r="BK38" s="35">
        <f t="shared" si="14"/>
        <v>0</v>
      </c>
      <c r="BL38" s="79"/>
    </row>
    <row r="39" spans="1:64" ht="12.75">
      <c r="A39" s="77" t="s">
        <v>181</v>
      </c>
      <c r="B39" s="77"/>
      <c r="C39" s="35">
        <f t="shared" si="8"/>
        <v>23742663</v>
      </c>
      <c r="D39" s="35"/>
      <c r="E39" s="35">
        <v>200403864</v>
      </c>
      <c r="F39" s="35"/>
      <c r="G39" s="35">
        <v>224146527</v>
      </c>
      <c r="H39" s="35"/>
      <c r="I39" s="35">
        <f t="shared" si="9"/>
        <v>6883083</v>
      </c>
      <c r="J39" s="35"/>
      <c r="K39" s="35">
        <v>142195316</v>
      </c>
      <c r="L39" s="35"/>
      <c r="M39" s="35">
        <v>149078399</v>
      </c>
      <c r="N39" s="35"/>
      <c r="O39" s="35">
        <v>51273012</v>
      </c>
      <c r="P39" s="35"/>
      <c r="Q39" s="35">
        <v>5164814</v>
      </c>
      <c r="R39" s="35"/>
      <c r="S39" s="35">
        <v>18630302</v>
      </c>
      <c r="T39" s="35"/>
      <c r="U39" s="35">
        <f t="shared" si="10"/>
        <v>75068128</v>
      </c>
      <c r="V39" s="35"/>
      <c r="W39" s="35">
        <f t="shared" si="11"/>
        <v>0</v>
      </c>
      <c r="X39" s="35"/>
      <c r="Y39" s="81" t="s">
        <v>181</v>
      </c>
      <c r="Z39" s="35"/>
      <c r="AA39" s="35">
        <v>20262424</v>
      </c>
      <c r="AB39" s="17"/>
      <c r="AC39" s="35">
        <f>10131718-4086942</f>
        <v>6044776</v>
      </c>
      <c r="AD39" s="17"/>
      <c r="AE39" s="35">
        <v>4086942</v>
      </c>
      <c r="AF39" s="17"/>
      <c r="AG39" s="35">
        <f t="shared" si="12"/>
        <v>10130706</v>
      </c>
      <c r="AH39" s="40"/>
      <c r="AI39" s="35">
        <v>-6367686</v>
      </c>
      <c r="AJ39" s="40"/>
      <c r="AK39" s="35">
        <v>14846</v>
      </c>
      <c r="AL39" s="17"/>
      <c r="AM39" s="35">
        <v>529556</v>
      </c>
      <c r="AN39" s="17"/>
      <c r="AO39" s="35">
        <v>118260</v>
      </c>
      <c r="AP39" s="17"/>
      <c r="AQ39" s="35">
        <f t="shared" si="15"/>
        <v>3366570</v>
      </c>
      <c r="AR39" s="40"/>
      <c r="AS39" s="17">
        <v>0</v>
      </c>
      <c r="AT39" s="17"/>
      <c r="AU39" s="17">
        <v>0</v>
      </c>
      <c r="AV39" s="17"/>
      <c r="AW39" s="35">
        <f t="shared" si="13"/>
        <v>16859580</v>
      </c>
      <c r="AX39" s="17"/>
      <c r="AY39" s="81" t="s">
        <v>181</v>
      </c>
      <c r="AZ39" s="17"/>
      <c r="BA39" s="35">
        <v>11606826</v>
      </c>
      <c r="BB39" s="17"/>
      <c r="BC39" s="35">
        <v>68752411</v>
      </c>
      <c r="BD39" s="17"/>
      <c r="BE39" s="35">
        <v>9194547</v>
      </c>
      <c r="BF39" s="17"/>
      <c r="BG39" s="152">
        <f>51084887+1556645</f>
        <v>52641532</v>
      </c>
      <c r="BH39" s="17"/>
      <c r="BI39" s="17"/>
      <c r="BJ39" s="17"/>
      <c r="BK39" s="35">
        <f t="shared" si="14"/>
        <v>142195316</v>
      </c>
      <c r="BL39" s="79"/>
    </row>
    <row r="40" spans="1:64" ht="12.75" hidden="1">
      <c r="A40" s="77" t="s">
        <v>242</v>
      </c>
      <c r="B40" s="77"/>
      <c r="C40" s="35">
        <f t="shared" si="8"/>
        <v>0</v>
      </c>
      <c r="D40" s="35"/>
      <c r="E40" s="24"/>
      <c r="F40" s="35"/>
      <c r="G40" s="24"/>
      <c r="H40" s="35"/>
      <c r="I40" s="35">
        <f t="shared" si="9"/>
        <v>0</v>
      </c>
      <c r="J40" s="35"/>
      <c r="K40" s="24"/>
      <c r="L40" s="35"/>
      <c r="M40" s="24"/>
      <c r="N40" s="35"/>
      <c r="O40" s="24"/>
      <c r="P40" s="35"/>
      <c r="Q40" s="24"/>
      <c r="R40" s="35"/>
      <c r="S40" s="24"/>
      <c r="T40" s="35"/>
      <c r="U40" s="35">
        <f t="shared" si="10"/>
        <v>0</v>
      </c>
      <c r="V40" s="35"/>
      <c r="W40" s="35">
        <f t="shared" si="11"/>
        <v>0</v>
      </c>
      <c r="X40" s="35"/>
      <c r="Y40" s="81" t="s">
        <v>36</v>
      </c>
      <c r="Z40" s="35"/>
      <c r="AA40" s="24"/>
      <c r="AB40" s="17"/>
      <c r="AC40" s="24"/>
      <c r="AD40" s="17"/>
      <c r="AE40" s="24"/>
      <c r="AF40" s="17"/>
      <c r="AG40" s="35">
        <f t="shared" si="12"/>
        <v>0</v>
      </c>
      <c r="AH40" s="40"/>
      <c r="AI40" s="24"/>
      <c r="AJ40" s="40"/>
      <c r="AK40" s="24"/>
      <c r="AL40" s="17"/>
      <c r="AM40" s="24"/>
      <c r="AN40" s="17"/>
      <c r="AO40" s="24"/>
      <c r="AP40" s="17"/>
      <c r="AQ40" s="35">
        <f t="shared" si="15"/>
        <v>0</v>
      </c>
      <c r="AR40" s="40"/>
      <c r="AS40" s="17">
        <v>0</v>
      </c>
      <c r="AT40" s="17"/>
      <c r="AU40" s="17">
        <v>0</v>
      </c>
      <c r="AV40" s="17"/>
      <c r="AW40" s="35">
        <f t="shared" si="13"/>
        <v>0</v>
      </c>
      <c r="AX40" s="17"/>
      <c r="AY40" s="81" t="s">
        <v>36</v>
      </c>
      <c r="AZ40" s="17"/>
      <c r="BA40" s="24"/>
      <c r="BB40" s="17"/>
      <c r="BC40" s="24"/>
      <c r="BD40" s="17"/>
      <c r="BE40" s="24"/>
      <c r="BF40" s="17"/>
      <c r="BG40" s="24"/>
      <c r="BH40" s="17"/>
      <c r="BI40" s="17"/>
      <c r="BJ40" s="17"/>
      <c r="BK40" s="35">
        <f t="shared" si="14"/>
        <v>0</v>
      </c>
      <c r="BL40" s="79"/>
    </row>
    <row r="41" spans="1:64" ht="12.75" hidden="1">
      <c r="A41" s="77" t="s">
        <v>37</v>
      </c>
      <c r="B41" s="77"/>
      <c r="C41" s="35">
        <f t="shared" si="8"/>
        <v>0</v>
      </c>
      <c r="D41" s="35"/>
      <c r="E41" s="24"/>
      <c r="F41" s="35"/>
      <c r="G41" s="24"/>
      <c r="H41" s="35"/>
      <c r="I41" s="35">
        <f t="shared" si="9"/>
        <v>0</v>
      </c>
      <c r="J41" s="35"/>
      <c r="K41" s="24"/>
      <c r="L41" s="35"/>
      <c r="M41" s="24"/>
      <c r="N41" s="35"/>
      <c r="O41" s="24"/>
      <c r="P41" s="35"/>
      <c r="Q41" s="24"/>
      <c r="R41" s="35"/>
      <c r="S41" s="24"/>
      <c r="T41" s="35"/>
      <c r="U41" s="35">
        <f t="shared" si="10"/>
        <v>0</v>
      </c>
      <c r="V41" s="35"/>
      <c r="W41" s="35">
        <f t="shared" si="11"/>
        <v>0</v>
      </c>
      <c r="X41" s="35"/>
      <c r="Y41" s="81" t="s">
        <v>37</v>
      </c>
      <c r="Z41" s="35"/>
      <c r="AA41" s="24"/>
      <c r="AB41" s="17"/>
      <c r="AC41" s="24"/>
      <c r="AD41" s="17"/>
      <c r="AE41" s="24"/>
      <c r="AF41" s="17"/>
      <c r="AG41" s="35">
        <f t="shared" si="12"/>
        <v>0</v>
      </c>
      <c r="AH41" s="40"/>
      <c r="AI41" s="24"/>
      <c r="AJ41" s="40"/>
      <c r="AK41" s="24"/>
      <c r="AL41" s="17"/>
      <c r="AM41" s="24"/>
      <c r="AN41" s="17"/>
      <c r="AO41" s="24"/>
      <c r="AP41" s="17"/>
      <c r="AQ41" s="35">
        <f t="shared" si="15"/>
        <v>0</v>
      </c>
      <c r="AR41" s="40"/>
      <c r="AS41" s="17">
        <v>0</v>
      </c>
      <c r="AT41" s="17"/>
      <c r="AU41" s="17">
        <v>0</v>
      </c>
      <c r="AV41" s="17"/>
      <c r="AW41" s="35">
        <f t="shared" si="13"/>
        <v>0</v>
      </c>
      <c r="AX41" s="35"/>
      <c r="AY41" s="81" t="s">
        <v>37</v>
      </c>
      <c r="AZ41" s="35"/>
      <c r="BA41" s="24"/>
      <c r="BB41" s="17"/>
      <c r="BC41" s="24"/>
      <c r="BD41" s="17"/>
      <c r="BE41" s="24"/>
      <c r="BF41" s="17"/>
      <c r="BG41" s="24"/>
      <c r="BH41" s="17"/>
      <c r="BI41" s="17"/>
      <c r="BJ41" s="17"/>
      <c r="BK41" s="35">
        <f t="shared" si="14"/>
        <v>0</v>
      </c>
      <c r="BL41" s="79"/>
    </row>
    <row r="42" spans="1:64" ht="12.75" hidden="1">
      <c r="A42" s="77" t="s">
        <v>38</v>
      </c>
      <c r="B42" s="77"/>
      <c r="C42" s="35">
        <f t="shared" si="8"/>
        <v>0</v>
      </c>
      <c r="D42" s="35"/>
      <c r="E42" s="24"/>
      <c r="F42" s="35"/>
      <c r="G42" s="24"/>
      <c r="H42" s="35"/>
      <c r="I42" s="35">
        <f t="shared" si="9"/>
        <v>0</v>
      </c>
      <c r="J42" s="35"/>
      <c r="K42" s="24"/>
      <c r="L42" s="35"/>
      <c r="M42" s="24"/>
      <c r="N42" s="35"/>
      <c r="O42" s="24"/>
      <c r="P42" s="35"/>
      <c r="Q42" s="24"/>
      <c r="R42" s="35"/>
      <c r="S42" s="24"/>
      <c r="T42" s="35"/>
      <c r="U42" s="35">
        <f t="shared" si="10"/>
        <v>0</v>
      </c>
      <c r="V42" s="35"/>
      <c r="W42" s="35">
        <f t="shared" si="11"/>
        <v>0</v>
      </c>
      <c r="X42" s="35"/>
      <c r="Y42" s="81" t="s">
        <v>38</v>
      </c>
      <c r="Z42" s="35"/>
      <c r="AA42" s="24"/>
      <c r="AB42" s="17"/>
      <c r="AC42" s="24"/>
      <c r="AD42" s="17"/>
      <c r="AE42" s="24"/>
      <c r="AF42" s="17"/>
      <c r="AG42" s="35">
        <f t="shared" si="12"/>
        <v>0</v>
      </c>
      <c r="AH42" s="40"/>
      <c r="AI42" s="24"/>
      <c r="AJ42" s="40"/>
      <c r="AK42" s="24"/>
      <c r="AL42" s="17"/>
      <c r="AM42" s="24"/>
      <c r="AN42" s="17"/>
      <c r="AO42" s="24"/>
      <c r="AP42" s="17"/>
      <c r="AQ42" s="35">
        <f t="shared" si="15"/>
        <v>0</v>
      </c>
      <c r="AR42" s="40"/>
      <c r="AS42" s="17">
        <v>0</v>
      </c>
      <c r="AT42" s="17"/>
      <c r="AU42" s="17">
        <v>0</v>
      </c>
      <c r="AV42" s="17"/>
      <c r="AW42" s="35">
        <f t="shared" si="13"/>
        <v>0</v>
      </c>
      <c r="AX42" s="17"/>
      <c r="AY42" s="81" t="s">
        <v>38</v>
      </c>
      <c r="AZ42" s="17"/>
      <c r="BA42" s="24"/>
      <c r="BB42" s="17"/>
      <c r="BC42" s="24"/>
      <c r="BD42" s="17"/>
      <c r="BE42" s="24"/>
      <c r="BF42" s="17"/>
      <c r="BG42" s="24"/>
      <c r="BH42" s="17"/>
      <c r="BI42" s="17"/>
      <c r="BJ42" s="17"/>
      <c r="BK42" s="35">
        <f t="shared" si="14"/>
        <v>0</v>
      </c>
      <c r="BL42" s="79"/>
    </row>
    <row r="43" spans="1:64" ht="12.75" hidden="1">
      <c r="A43" s="77" t="s">
        <v>167</v>
      </c>
      <c r="B43" s="77"/>
      <c r="C43" s="35">
        <f t="shared" si="8"/>
        <v>0</v>
      </c>
      <c r="D43" s="35"/>
      <c r="E43" s="24"/>
      <c r="F43" s="35"/>
      <c r="G43" s="24"/>
      <c r="H43" s="35"/>
      <c r="I43" s="35">
        <f t="shared" si="9"/>
        <v>0</v>
      </c>
      <c r="J43" s="35"/>
      <c r="K43" s="24"/>
      <c r="L43" s="35"/>
      <c r="M43" s="24"/>
      <c r="N43" s="35"/>
      <c r="O43" s="24"/>
      <c r="P43" s="35"/>
      <c r="Q43" s="24"/>
      <c r="R43" s="35"/>
      <c r="S43" s="24"/>
      <c r="T43" s="35"/>
      <c r="U43" s="35">
        <f t="shared" si="10"/>
        <v>0</v>
      </c>
      <c r="V43" s="35"/>
      <c r="W43" s="35">
        <f t="shared" si="11"/>
        <v>0</v>
      </c>
      <c r="X43" s="35"/>
      <c r="Y43" s="81" t="s">
        <v>167</v>
      </c>
      <c r="Z43" s="35"/>
      <c r="AA43" s="24"/>
      <c r="AB43" s="17"/>
      <c r="AC43" s="24"/>
      <c r="AD43" s="17"/>
      <c r="AE43" s="24"/>
      <c r="AF43" s="17"/>
      <c r="AG43" s="35">
        <f t="shared" si="12"/>
        <v>0</v>
      </c>
      <c r="AH43" s="40"/>
      <c r="AI43" s="24"/>
      <c r="AJ43" s="40"/>
      <c r="AK43" s="24"/>
      <c r="AL43" s="17"/>
      <c r="AM43" s="24"/>
      <c r="AN43" s="17"/>
      <c r="AO43" s="24"/>
      <c r="AP43" s="17"/>
      <c r="AQ43" s="35">
        <f t="shared" si="15"/>
        <v>0</v>
      </c>
      <c r="AR43" s="40"/>
      <c r="AS43" s="17">
        <v>0</v>
      </c>
      <c r="AT43" s="17"/>
      <c r="AU43" s="17">
        <v>0</v>
      </c>
      <c r="AV43" s="17"/>
      <c r="AW43" s="35">
        <f t="shared" si="13"/>
        <v>0</v>
      </c>
      <c r="AX43" s="35"/>
      <c r="AY43" s="81" t="s">
        <v>167</v>
      </c>
      <c r="AZ43" s="35"/>
      <c r="BA43" s="24"/>
      <c r="BB43" s="17"/>
      <c r="BC43" s="24"/>
      <c r="BD43" s="17"/>
      <c r="BE43" s="24"/>
      <c r="BF43" s="17"/>
      <c r="BG43" s="24"/>
      <c r="BH43" s="17"/>
      <c r="BI43" s="17"/>
      <c r="BJ43" s="17"/>
      <c r="BK43" s="35">
        <f t="shared" si="14"/>
        <v>0</v>
      </c>
      <c r="BL43" s="79"/>
    </row>
    <row r="44" spans="1:64" ht="12.75" hidden="1">
      <c r="A44" s="77" t="s">
        <v>39</v>
      </c>
      <c r="B44" s="77"/>
      <c r="C44" s="35">
        <f t="shared" si="8"/>
        <v>0</v>
      </c>
      <c r="D44" s="35"/>
      <c r="E44" s="24"/>
      <c r="F44" s="35"/>
      <c r="G44" s="24"/>
      <c r="H44" s="35"/>
      <c r="I44" s="35">
        <f t="shared" si="9"/>
        <v>0</v>
      </c>
      <c r="J44" s="35"/>
      <c r="K44" s="24"/>
      <c r="L44" s="35"/>
      <c r="M44" s="24"/>
      <c r="N44" s="35"/>
      <c r="O44" s="24"/>
      <c r="P44" s="35"/>
      <c r="Q44" s="24"/>
      <c r="R44" s="35"/>
      <c r="S44" s="24"/>
      <c r="T44" s="35"/>
      <c r="U44" s="35">
        <f t="shared" si="10"/>
        <v>0</v>
      </c>
      <c r="V44" s="35"/>
      <c r="W44" s="35">
        <f t="shared" si="11"/>
        <v>0</v>
      </c>
      <c r="X44" s="35"/>
      <c r="Y44" s="81" t="s">
        <v>39</v>
      </c>
      <c r="Z44" s="35"/>
      <c r="AA44" s="24"/>
      <c r="AB44" s="17"/>
      <c r="AC44" s="24"/>
      <c r="AD44" s="17"/>
      <c r="AE44" s="24"/>
      <c r="AF44" s="17"/>
      <c r="AG44" s="35">
        <f t="shared" si="12"/>
        <v>0</v>
      </c>
      <c r="AH44" s="40"/>
      <c r="AI44" s="24"/>
      <c r="AJ44" s="40"/>
      <c r="AK44" s="24"/>
      <c r="AL44" s="17"/>
      <c r="AM44" s="24"/>
      <c r="AN44" s="17"/>
      <c r="AO44" s="24"/>
      <c r="AP44" s="17"/>
      <c r="AQ44" s="35">
        <f t="shared" si="15"/>
        <v>0</v>
      </c>
      <c r="AR44" s="40"/>
      <c r="AS44" s="17">
        <v>0</v>
      </c>
      <c r="AT44" s="17"/>
      <c r="AU44" s="17">
        <v>0</v>
      </c>
      <c r="AV44" s="17"/>
      <c r="AW44" s="35">
        <f t="shared" si="13"/>
        <v>0</v>
      </c>
      <c r="AX44" s="17"/>
      <c r="AY44" s="81" t="s">
        <v>39</v>
      </c>
      <c r="AZ44" s="17"/>
      <c r="BA44" s="24"/>
      <c r="BB44" s="17"/>
      <c r="BC44" s="24"/>
      <c r="BD44" s="17"/>
      <c r="BE44" s="24"/>
      <c r="BF44" s="17"/>
      <c r="BG44" s="24"/>
      <c r="BH44" s="17"/>
      <c r="BI44" s="17"/>
      <c r="BJ44" s="17"/>
      <c r="BK44" s="35">
        <f t="shared" si="14"/>
        <v>0</v>
      </c>
      <c r="BL44" s="79"/>
    </row>
    <row r="45" spans="1:64" ht="12.75" hidden="1">
      <c r="A45" s="77" t="s">
        <v>40</v>
      </c>
      <c r="B45" s="77"/>
      <c r="C45" s="35">
        <f t="shared" si="8"/>
        <v>0</v>
      </c>
      <c r="D45" s="35"/>
      <c r="E45" s="24"/>
      <c r="F45" s="35"/>
      <c r="G45" s="24"/>
      <c r="H45" s="35"/>
      <c r="I45" s="35">
        <f t="shared" si="9"/>
        <v>0</v>
      </c>
      <c r="J45" s="35"/>
      <c r="K45" s="24"/>
      <c r="L45" s="35"/>
      <c r="M45" s="24"/>
      <c r="N45" s="35"/>
      <c r="O45" s="24"/>
      <c r="P45" s="35"/>
      <c r="Q45" s="24"/>
      <c r="R45" s="35"/>
      <c r="S45" s="24"/>
      <c r="T45" s="35"/>
      <c r="U45" s="35">
        <f t="shared" si="10"/>
        <v>0</v>
      </c>
      <c r="V45" s="35"/>
      <c r="W45" s="35">
        <f t="shared" si="11"/>
        <v>0</v>
      </c>
      <c r="X45" s="35"/>
      <c r="Y45" s="81" t="s">
        <v>40</v>
      </c>
      <c r="Z45" s="35"/>
      <c r="AA45" s="24"/>
      <c r="AB45" s="17"/>
      <c r="AC45" s="24"/>
      <c r="AD45" s="17"/>
      <c r="AE45" s="24"/>
      <c r="AF45" s="17"/>
      <c r="AG45" s="35">
        <f t="shared" si="12"/>
        <v>0</v>
      </c>
      <c r="AH45" s="40"/>
      <c r="AI45" s="24"/>
      <c r="AJ45" s="40"/>
      <c r="AK45" s="24"/>
      <c r="AL45" s="17"/>
      <c r="AM45" s="24"/>
      <c r="AN45" s="17"/>
      <c r="AO45" s="24"/>
      <c r="AP45" s="17"/>
      <c r="AQ45" s="35">
        <f t="shared" si="15"/>
        <v>0</v>
      </c>
      <c r="AR45" s="40"/>
      <c r="AS45" s="17">
        <v>0</v>
      </c>
      <c r="AT45" s="17"/>
      <c r="AU45" s="17">
        <v>0</v>
      </c>
      <c r="AV45" s="17"/>
      <c r="AW45" s="35">
        <f t="shared" si="13"/>
        <v>0</v>
      </c>
      <c r="AX45" s="35"/>
      <c r="AY45" s="81" t="s">
        <v>40</v>
      </c>
      <c r="AZ45" s="35"/>
      <c r="BA45" s="24"/>
      <c r="BB45" s="17"/>
      <c r="BC45" s="24"/>
      <c r="BD45" s="17"/>
      <c r="BE45" s="24"/>
      <c r="BF45" s="17"/>
      <c r="BG45" s="24"/>
      <c r="BH45" s="17"/>
      <c r="BI45" s="17"/>
      <c r="BJ45" s="17"/>
      <c r="BK45" s="35">
        <f t="shared" si="14"/>
        <v>0</v>
      </c>
      <c r="BL45" s="79"/>
    </row>
    <row r="46" spans="1:64" ht="12.75" hidden="1">
      <c r="A46" s="77" t="s">
        <v>41</v>
      </c>
      <c r="B46" s="77"/>
      <c r="C46" s="35">
        <f t="shared" si="8"/>
        <v>0</v>
      </c>
      <c r="D46" s="35"/>
      <c r="E46" s="24"/>
      <c r="F46" s="35"/>
      <c r="G46" s="24"/>
      <c r="H46" s="35"/>
      <c r="I46" s="35">
        <f t="shared" si="9"/>
        <v>0</v>
      </c>
      <c r="J46" s="35"/>
      <c r="K46" s="24"/>
      <c r="L46" s="35"/>
      <c r="M46" s="24"/>
      <c r="N46" s="35"/>
      <c r="O46" s="24"/>
      <c r="P46" s="35"/>
      <c r="Q46" s="24"/>
      <c r="R46" s="35"/>
      <c r="S46" s="24"/>
      <c r="T46" s="35"/>
      <c r="U46" s="35">
        <f t="shared" si="10"/>
        <v>0</v>
      </c>
      <c r="V46" s="35"/>
      <c r="W46" s="35">
        <f t="shared" si="11"/>
        <v>0</v>
      </c>
      <c r="X46" s="35"/>
      <c r="Y46" s="81" t="s">
        <v>41</v>
      </c>
      <c r="Z46" s="35"/>
      <c r="AA46" s="24"/>
      <c r="AB46" s="17"/>
      <c r="AC46" s="24"/>
      <c r="AD46" s="17"/>
      <c r="AE46" s="24"/>
      <c r="AF46" s="17"/>
      <c r="AG46" s="35">
        <f t="shared" si="12"/>
        <v>0</v>
      </c>
      <c r="AH46" s="40"/>
      <c r="AI46" s="24"/>
      <c r="AJ46" s="40"/>
      <c r="AK46" s="24"/>
      <c r="AL46" s="17"/>
      <c r="AM46" s="24"/>
      <c r="AN46" s="17"/>
      <c r="AO46" s="24"/>
      <c r="AP46" s="17"/>
      <c r="AQ46" s="35">
        <f t="shared" si="15"/>
        <v>0</v>
      </c>
      <c r="AR46" s="40"/>
      <c r="AS46" s="17">
        <v>0</v>
      </c>
      <c r="AT46" s="17"/>
      <c r="AU46" s="17">
        <v>0</v>
      </c>
      <c r="AV46" s="17"/>
      <c r="AW46" s="35">
        <f t="shared" si="13"/>
        <v>0</v>
      </c>
      <c r="AX46" s="35"/>
      <c r="AY46" s="81" t="s">
        <v>41</v>
      </c>
      <c r="AZ46" s="35"/>
      <c r="BA46" s="24"/>
      <c r="BB46" s="17"/>
      <c r="BC46" s="24"/>
      <c r="BD46" s="17"/>
      <c r="BE46" s="24"/>
      <c r="BF46" s="17"/>
      <c r="BG46" s="24"/>
      <c r="BH46" s="17"/>
      <c r="BI46" s="17"/>
      <c r="BJ46" s="17"/>
      <c r="BK46" s="35">
        <f t="shared" si="14"/>
        <v>0</v>
      </c>
      <c r="BL46" s="79"/>
    </row>
    <row r="47" spans="1:64" ht="12.75">
      <c r="A47" s="77" t="s">
        <v>42</v>
      </c>
      <c r="B47" s="77"/>
      <c r="C47" s="35">
        <f t="shared" si="8"/>
        <v>173443</v>
      </c>
      <c r="D47" s="35"/>
      <c r="E47" s="24">
        <v>1258680</v>
      </c>
      <c r="F47" s="35"/>
      <c r="G47" s="24">
        <v>1432123</v>
      </c>
      <c r="H47" s="35"/>
      <c r="I47" s="35">
        <f t="shared" si="9"/>
        <v>13866</v>
      </c>
      <c r="J47" s="35"/>
      <c r="K47" s="24">
        <v>451812</v>
      </c>
      <c r="L47" s="35"/>
      <c r="M47" s="24">
        <v>465678</v>
      </c>
      <c r="N47" s="35"/>
      <c r="O47" s="24">
        <v>804880</v>
      </c>
      <c r="P47" s="35"/>
      <c r="Q47" s="24">
        <v>0</v>
      </c>
      <c r="R47" s="35"/>
      <c r="S47" s="24">
        <v>161565</v>
      </c>
      <c r="T47" s="35"/>
      <c r="U47" s="35">
        <f t="shared" si="10"/>
        <v>966445</v>
      </c>
      <c r="V47" s="35"/>
      <c r="W47" s="35">
        <f t="shared" si="11"/>
        <v>0</v>
      </c>
      <c r="X47" s="35"/>
      <c r="Y47" s="81" t="s">
        <v>42</v>
      </c>
      <c r="Z47" s="35"/>
      <c r="AA47" s="24">
        <v>156432</v>
      </c>
      <c r="AB47" s="17"/>
      <c r="AC47" s="24">
        <f>163370-57005</f>
        <v>106365</v>
      </c>
      <c r="AD47" s="17"/>
      <c r="AE47" s="24">
        <v>57005</v>
      </c>
      <c r="AF47" s="17"/>
      <c r="AG47" s="35">
        <f t="shared" si="12"/>
        <v>-6938</v>
      </c>
      <c r="AH47" s="40"/>
      <c r="AI47" s="24">
        <v>-23346</v>
      </c>
      <c r="AJ47" s="40"/>
      <c r="AK47" s="24">
        <v>0</v>
      </c>
      <c r="AL47" s="17"/>
      <c r="AM47" s="24">
        <v>0</v>
      </c>
      <c r="AN47" s="17"/>
      <c r="AO47" s="24">
        <v>19130</v>
      </c>
      <c r="AP47" s="17"/>
      <c r="AQ47" s="35">
        <f t="shared" si="15"/>
        <v>-11154</v>
      </c>
      <c r="AR47" s="40"/>
      <c r="AS47" s="17">
        <v>0</v>
      </c>
      <c r="AT47" s="17"/>
      <c r="AU47" s="17">
        <v>0</v>
      </c>
      <c r="AV47" s="17"/>
      <c r="AW47" s="35">
        <f t="shared" si="13"/>
        <v>159577</v>
      </c>
      <c r="AX47" s="17"/>
      <c r="AY47" s="81" t="s">
        <v>42</v>
      </c>
      <c r="AZ47" s="17"/>
      <c r="BA47" s="24">
        <v>0</v>
      </c>
      <c r="BB47" s="17"/>
      <c r="BC47" s="24">
        <v>443200</v>
      </c>
      <c r="BD47" s="17"/>
      <c r="BE47" s="24">
        <v>0</v>
      </c>
      <c r="BF47" s="17"/>
      <c r="BG47" s="24">
        <v>8612</v>
      </c>
      <c r="BH47" s="17"/>
      <c r="BI47" s="17"/>
      <c r="BJ47" s="17"/>
      <c r="BK47" s="35">
        <f t="shared" si="14"/>
        <v>451812</v>
      </c>
      <c r="BL47" s="79"/>
    </row>
    <row r="48" spans="1:64" ht="12.75" hidden="1">
      <c r="A48" s="77" t="s">
        <v>42</v>
      </c>
      <c r="B48" s="77"/>
      <c r="C48" s="152">
        <f t="shared" si="8"/>
        <v>0</v>
      </c>
      <c r="D48" s="152"/>
      <c r="E48" s="24"/>
      <c r="F48" s="152"/>
      <c r="G48" s="24"/>
      <c r="H48" s="152"/>
      <c r="I48" s="152">
        <f t="shared" si="9"/>
        <v>0</v>
      </c>
      <c r="J48" s="152"/>
      <c r="K48" s="24"/>
      <c r="L48" s="152"/>
      <c r="M48" s="24"/>
      <c r="N48" s="152"/>
      <c r="O48" s="24"/>
      <c r="P48" s="152"/>
      <c r="Q48" s="24"/>
      <c r="R48" s="152"/>
      <c r="S48" s="24"/>
      <c r="T48" s="152"/>
      <c r="U48" s="152">
        <f t="shared" si="10"/>
        <v>0</v>
      </c>
      <c r="V48" s="152"/>
      <c r="W48" s="152">
        <f t="shared" si="11"/>
        <v>0</v>
      </c>
      <c r="X48" s="152"/>
      <c r="Y48" s="158" t="s">
        <v>42</v>
      </c>
      <c r="Z48" s="152"/>
      <c r="AA48" s="24"/>
      <c r="AB48" s="153"/>
      <c r="AC48" s="24"/>
      <c r="AD48" s="153"/>
      <c r="AE48" s="24"/>
      <c r="AF48" s="153"/>
      <c r="AG48" s="152">
        <f t="shared" si="12"/>
        <v>0</v>
      </c>
      <c r="AH48" s="144"/>
      <c r="AI48" s="24"/>
      <c r="AJ48" s="144"/>
      <c r="AK48" s="24"/>
      <c r="AL48" s="153"/>
      <c r="AM48" s="24"/>
      <c r="AN48" s="153"/>
      <c r="AO48" s="24"/>
      <c r="AP48" s="153"/>
      <c r="AQ48" s="152">
        <f t="shared" si="15"/>
        <v>0</v>
      </c>
      <c r="AR48" s="144"/>
      <c r="AS48" s="153">
        <v>0</v>
      </c>
      <c r="AT48" s="153"/>
      <c r="AU48" s="153">
        <v>0</v>
      </c>
      <c r="AV48" s="153"/>
      <c r="AW48" s="152">
        <f t="shared" si="13"/>
        <v>0</v>
      </c>
      <c r="AX48" s="153"/>
      <c r="AY48" s="158" t="s">
        <v>42</v>
      </c>
      <c r="AZ48" s="153"/>
      <c r="BA48" s="24"/>
      <c r="BB48" s="153"/>
      <c r="BC48" s="24"/>
      <c r="BD48" s="153"/>
      <c r="BE48" s="24"/>
      <c r="BF48" s="153"/>
      <c r="BG48" s="24"/>
      <c r="BH48" s="153"/>
      <c r="BI48" s="153"/>
      <c r="BJ48" s="153"/>
      <c r="BK48" s="152">
        <f t="shared" si="14"/>
        <v>0</v>
      </c>
      <c r="BL48" s="79"/>
    </row>
    <row r="49" spans="1:64" ht="12.75">
      <c r="A49" s="77" t="s">
        <v>43</v>
      </c>
      <c r="B49" s="77"/>
      <c r="C49" s="152">
        <f t="shared" si="8"/>
        <v>1028024</v>
      </c>
      <c r="D49" s="152"/>
      <c r="E49" s="24">
        <v>10492412</v>
      </c>
      <c r="F49" s="152"/>
      <c r="G49" s="24">
        <v>11520436</v>
      </c>
      <c r="H49" s="152"/>
      <c r="I49" s="152">
        <f>M49-K49</f>
        <v>319487</v>
      </c>
      <c r="J49" s="152"/>
      <c r="K49" s="24">
        <v>5954850</v>
      </c>
      <c r="L49" s="152"/>
      <c r="M49" s="24">
        <v>6274337</v>
      </c>
      <c r="N49" s="152"/>
      <c r="O49" s="24">
        <v>4454022</v>
      </c>
      <c r="P49" s="152"/>
      <c r="Q49" s="24">
        <v>0</v>
      </c>
      <c r="R49" s="152"/>
      <c r="S49" s="24">
        <v>792077</v>
      </c>
      <c r="T49" s="152"/>
      <c r="U49" s="152">
        <f t="shared" si="10"/>
        <v>5246099</v>
      </c>
      <c r="V49" s="152"/>
      <c r="W49" s="152">
        <f t="shared" si="11"/>
        <v>0</v>
      </c>
      <c r="X49" s="152"/>
      <c r="Y49" s="158" t="s">
        <v>43</v>
      </c>
      <c r="Z49" s="152"/>
      <c r="AA49" s="24">
        <v>941095</v>
      </c>
      <c r="AB49" s="153"/>
      <c r="AC49" s="24">
        <f>1011168-213187</f>
        <v>797981</v>
      </c>
      <c r="AD49" s="153"/>
      <c r="AE49" s="24">
        <v>213187</v>
      </c>
      <c r="AF49" s="153"/>
      <c r="AG49" s="152">
        <f t="shared" si="12"/>
        <v>-70073</v>
      </c>
      <c r="AH49" s="144"/>
      <c r="AI49" s="24">
        <v>-145116</v>
      </c>
      <c r="AJ49" s="144"/>
      <c r="AK49" s="24">
        <v>0</v>
      </c>
      <c r="AL49" s="153"/>
      <c r="AM49" s="24">
        <v>8000</v>
      </c>
      <c r="AN49" s="153"/>
      <c r="AO49" s="24">
        <v>2355444</v>
      </c>
      <c r="AP49" s="153"/>
      <c r="AQ49" s="152">
        <f t="shared" si="15"/>
        <v>2132255</v>
      </c>
      <c r="AR49" s="144"/>
      <c r="AS49" s="153">
        <v>0</v>
      </c>
      <c r="AT49" s="153"/>
      <c r="AU49" s="153">
        <v>0</v>
      </c>
      <c r="AV49" s="153"/>
      <c r="AW49" s="152">
        <f t="shared" si="13"/>
        <v>708537</v>
      </c>
      <c r="AX49" s="153"/>
      <c r="AY49" s="158" t="s">
        <v>43</v>
      </c>
      <c r="AZ49" s="153"/>
      <c r="BA49" s="24">
        <v>0</v>
      </c>
      <c r="BB49" s="153"/>
      <c r="BC49" s="24">
        <v>2271500</v>
      </c>
      <c r="BD49" s="153"/>
      <c r="BE49" s="24">
        <f>2556000+1122340</f>
        <v>3678340</v>
      </c>
      <c r="BF49" s="153"/>
      <c r="BG49" s="24">
        <v>5010</v>
      </c>
      <c r="BH49" s="153"/>
      <c r="BI49" s="153"/>
      <c r="BJ49" s="153"/>
      <c r="BK49" s="152">
        <f t="shared" si="14"/>
        <v>5954850</v>
      </c>
      <c r="BL49" s="79"/>
    </row>
    <row r="50" spans="1:65" ht="12.75" hidden="1">
      <c r="A50" s="77" t="s">
        <v>44</v>
      </c>
      <c r="B50" s="77"/>
      <c r="C50" s="152">
        <f t="shared" si="8"/>
        <v>0</v>
      </c>
      <c r="D50" s="152"/>
      <c r="E50" s="24"/>
      <c r="F50" s="152"/>
      <c r="G50" s="24"/>
      <c r="H50" s="152"/>
      <c r="I50" s="152">
        <f t="shared" si="9"/>
        <v>0</v>
      </c>
      <c r="J50" s="152"/>
      <c r="K50" s="24"/>
      <c r="L50" s="152"/>
      <c r="M50" s="24"/>
      <c r="N50" s="152"/>
      <c r="O50" s="24"/>
      <c r="P50" s="152"/>
      <c r="Q50" s="24"/>
      <c r="R50" s="152"/>
      <c r="S50" s="24"/>
      <c r="T50" s="152"/>
      <c r="U50" s="152">
        <f t="shared" si="10"/>
        <v>0</v>
      </c>
      <c r="V50" s="152"/>
      <c r="W50" s="152">
        <f t="shared" si="11"/>
        <v>0</v>
      </c>
      <c r="X50" s="152"/>
      <c r="Y50" s="158" t="s">
        <v>44</v>
      </c>
      <c r="Z50" s="152"/>
      <c r="AA50" s="24"/>
      <c r="AB50" s="153"/>
      <c r="AC50" s="24"/>
      <c r="AD50" s="153"/>
      <c r="AE50" s="24"/>
      <c r="AF50" s="153"/>
      <c r="AG50" s="152">
        <f t="shared" si="12"/>
        <v>0</v>
      </c>
      <c r="AH50" s="144"/>
      <c r="AI50" s="24"/>
      <c r="AJ50" s="144"/>
      <c r="AK50" s="24"/>
      <c r="AL50" s="153"/>
      <c r="AM50" s="24"/>
      <c r="AN50" s="153"/>
      <c r="AO50" s="24"/>
      <c r="AP50" s="153"/>
      <c r="AQ50" s="152">
        <f t="shared" si="15"/>
        <v>0</v>
      </c>
      <c r="AR50" s="144"/>
      <c r="AS50" s="153">
        <v>0</v>
      </c>
      <c r="AT50" s="153"/>
      <c r="AU50" s="153">
        <v>0</v>
      </c>
      <c r="AV50" s="153"/>
      <c r="AW50" s="152">
        <f t="shared" si="13"/>
        <v>0</v>
      </c>
      <c r="AX50" s="152"/>
      <c r="AY50" s="158" t="s">
        <v>44</v>
      </c>
      <c r="AZ50" s="152"/>
      <c r="BA50" s="24"/>
      <c r="BB50" s="153"/>
      <c r="BC50" s="24"/>
      <c r="BD50" s="153"/>
      <c r="BE50" s="24"/>
      <c r="BF50" s="153"/>
      <c r="BG50" s="24"/>
      <c r="BH50" s="153"/>
      <c r="BI50" s="153"/>
      <c r="BJ50" s="153"/>
      <c r="BK50" s="152">
        <f t="shared" si="14"/>
        <v>0</v>
      </c>
      <c r="BL50" s="79"/>
      <c r="BM50" s="79"/>
    </row>
    <row r="51" spans="1:64" ht="12.75" hidden="1">
      <c r="A51" s="77" t="s">
        <v>239</v>
      </c>
      <c r="B51" s="77"/>
      <c r="C51" s="152">
        <f t="shared" si="8"/>
        <v>0</v>
      </c>
      <c r="D51" s="152"/>
      <c r="E51" s="24"/>
      <c r="F51" s="152"/>
      <c r="G51" s="24"/>
      <c r="H51" s="152"/>
      <c r="I51" s="152">
        <f t="shared" si="9"/>
        <v>0</v>
      </c>
      <c r="J51" s="152"/>
      <c r="K51" s="24"/>
      <c r="L51" s="152"/>
      <c r="M51" s="24"/>
      <c r="N51" s="152"/>
      <c r="O51" s="24"/>
      <c r="P51" s="152"/>
      <c r="Q51" s="24"/>
      <c r="R51" s="152"/>
      <c r="S51" s="24"/>
      <c r="T51" s="152"/>
      <c r="U51" s="152">
        <f t="shared" si="10"/>
        <v>0</v>
      </c>
      <c r="V51" s="152"/>
      <c r="W51" s="152">
        <f t="shared" si="11"/>
        <v>0</v>
      </c>
      <c r="X51" s="152"/>
      <c r="Y51" s="158" t="s">
        <v>45</v>
      </c>
      <c r="Z51" s="152"/>
      <c r="AA51" s="24"/>
      <c r="AB51" s="153"/>
      <c r="AC51" s="24"/>
      <c r="AD51" s="153"/>
      <c r="AE51" s="24"/>
      <c r="AF51" s="153"/>
      <c r="AG51" s="152">
        <f t="shared" si="12"/>
        <v>0</v>
      </c>
      <c r="AH51" s="144"/>
      <c r="AI51" s="24"/>
      <c r="AJ51" s="144"/>
      <c r="AK51" s="24"/>
      <c r="AL51" s="153"/>
      <c r="AM51" s="24"/>
      <c r="AN51" s="153"/>
      <c r="AO51" s="24"/>
      <c r="AP51" s="153"/>
      <c r="AQ51" s="152">
        <f t="shared" si="15"/>
        <v>0</v>
      </c>
      <c r="AR51" s="144"/>
      <c r="AS51" s="153">
        <v>0</v>
      </c>
      <c r="AT51" s="153"/>
      <c r="AU51" s="153">
        <v>0</v>
      </c>
      <c r="AV51" s="153"/>
      <c r="AW51" s="152">
        <f t="shared" si="13"/>
        <v>0</v>
      </c>
      <c r="AX51" s="153"/>
      <c r="AY51" s="158" t="s">
        <v>45</v>
      </c>
      <c r="AZ51" s="153"/>
      <c r="BA51" s="24"/>
      <c r="BB51" s="153"/>
      <c r="BC51" s="24"/>
      <c r="BD51" s="153"/>
      <c r="BE51" s="24"/>
      <c r="BF51" s="153"/>
      <c r="BG51" s="24"/>
      <c r="BH51" s="153"/>
      <c r="BI51" s="153"/>
      <c r="BJ51" s="153"/>
      <c r="BK51" s="152">
        <f t="shared" si="14"/>
        <v>0</v>
      </c>
      <c r="BL51" s="79"/>
    </row>
    <row r="52" spans="1:64" ht="12.75">
      <c r="A52" s="77" t="s">
        <v>46</v>
      </c>
      <c r="B52" s="77"/>
      <c r="C52" s="152">
        <f t="shared" si="8"/>
        <v>1611611</v>
      </c>
      <c r="D52" s="152"/>
      <c r="E52" s="24">
        <v>13407541</v>
      </c>
      <c r="F52" s="152"/>
      <c r="G52" s="24">
        <v>15019152</v>
      </c>
      <c r="H52" s="152"/>
      <c r="I52" s="152">
        <f t="shared" si="9"/>
        <v>746535</v>
      </c>
      <c r="J52" s="152"/>
      <c r="K52" s="24">
        <v>2760468</v>
      </c>
      <c r="L52" s="152"/>
      <c r="M52" s="24">
        <v>3507003</v>
      </c>
      <c r="N52" s="152"/>
      <c r="O52" s="24">
        <v>9853036</v>
      </c>
      <c r="P52" s="152"/>
      <c r="Q52" s="24">
        <v>136029</v>
      </c>
      <c r="R52" s="152"/>
      <c r="S52" s="24">
        <v>1523084</v>
      </c>
      <c r="T52" s="152"/>
      <c r="U52" s="152">
        <f t="shared" si="10"/>
        <v>11512149</v>
      </c>
      <c r="V52" s="152"/>
      <c r="W52" s="152">
        <f t="shared" si="11"/>
        <v>0</v>
      </c>
      <c r="X52" s="152"/>
      <c r="Y52" s="158" t="s">
        <v>46</v>
      </c>
      <c r="Z52" s="152"/>
      <c r="AA52" s="24">
        <v>1275066</v>
      </c>
      <c r="AB52" s="153"/>
      <c r="AC52" s="24">
        <f>1364400-635540</f>
        <v>728860</v>
      </c>
      <c r="AD52" s="153"/>
      <c r="AE52" s="24">
        <v>635540</v>
      </c>
      <c r="AF52" s="153"/>
      <c r="AG52" s="152">
        <f t="shared" si="12"/>
        <v>-89334</v>
      </c>
      <c r="AH52" s="144"/>
      <c r="AI52" s="24">
        <v>-53623</v>
      </c>
      <c r="AJ52" s="144"/>
      <c r="AK52" s="24">
        <v>0</v>
      </c>
      <c r="AL52" s="153"/>
      <c r="AM52" s="24">
        <v>0</v>
      </c>
      <c r="AN52" s="153"/>
      <c r="AO52" s="24">
        <v>768775</v>
      </c>
      <c r="AP52" s="153"/>
      <c r="AQ52" s="152">
        <f t="shared" si="15"/>
        <v>625818</v>
      </c>
      <c r="AR52" s="144"/>
      <c r="AS52" s="153">
        <v>0</v>
      </c>
      <c r="AT52" s="153"/>
      <c r="AU52" s="153">
        <v>0</v>
      </c>
      <c r="AV52" s="153"/>
      <c r="AW52" s="152">
        <f t="shared" si="13"/>
        <v>865076</v>
      </c>
      <c r="AX52" s="153"/>
      <c r="AY52" s="158" t="s">
        <v>46</v>
      </c>
      <c r="AZ52" s="153"/>
      <c r="BA52" s="24">
        <v>2515953</v>
      </c>
      <c r="BB52" s="153"/>
      <c r="BC52" s="24">
        <v>0</v>
      </c>
      <c r="BD52" s="153"/>
      <c r="BE52" s="24">
        <f>188248+35612</f>
        <v>223860</v>
      </c>
      <c r="BF52" s="153"/>
      <c r="BG52" s="24">
        <v>20655</v>
      </c>
      <c r="BH52" s="153"/>
      <c r="BI52" s="153"/>
      <c r="BJ52" s="153"/>
      <c r="BK52" s="152">
        <f t="shared" si="14"/>
        <v>2760468</v>
      </c>
      <c r="BL52" s="79"/>
    </row>
    <row r="53" spans="1:64" ht="12.75">
      <c r="A53" s="77" t="s">
        <v>47</v>
      </c>
      <c r="B53" s="77"/>
      <c r="C53" s="152">
        <f t="shared" si="8"/>
        <v>9525773</v>
      </c>
      <c r="D53" s="152"/>
      <c r="E53" s="24">
        <v>5559860</v>
      </c>
      <c r="F53" s="152"/>
      <c r="G53" s="24">
        <v>15085633</v>
      </c>
      <c r="H53" s="152"/>
      <c r="I53" s="152">
        <f t="shared" si="9"/>
        <v>904008</v>
      </c>
      <c r="J53" s="152"/>
      <c r="K53" s="24">
        <v>6649574</v>
      </c>
      <c r="L53" s="152"/>
      <c r="M53" s="24">
        <v>7553582</v>
      </c>
      <c r="N53" s="152"/>
      <c r="O53" s="24">
        <v>3539544</v>
      </c>
      <c r="P53" s="152"/>
      <c r="Q53" s="24">
        <v>0</v>
      </c>
      <c r="R53" s="152"/>
      <c r="S53" s="24">
        <v>3992507</v>
      </c>
      <c r="T53" s="152"/>
      <c r="U53" s="152">
        <f t="shared" si="10"/>
        <v>7532051</v>
      </c>
      <c r="V53" s="152"/>
      <c r="W53" s="152">
        <f t="shared" si="11"/>
        <v>0</v>
      </c>
      <c r="X53" s="152"/>
      <c r="Y53" s="158" t="s">
        <v>47</v>
      </c>
      <c r="Z53" s="152"/>
      <c r="AA53" s="24">
        <v>1742668</v>
      </c>
      <c r="AB53" s="153"/>
      <c r="AC53" s="24">
        <f>1329854-235278</f>
        <v>1094576</v>
      </c>
      <c r="AD53" s="153"/>
      <c r="AE53" s="24">
        <v>235278</v>
      </c>
      <c r="AF53" s="153"/>
      <c r="AG53" s="152">
        <f t="shared" si="12"/>
        <v>412814</v>
      </c>
      <c r="AH53" s="144"/>
      <c r="AI53" s="24">
        <v>-45184</v>
      </c>
      <c r="AJ53" s="144"/>
      <c r="AK53" s="24">
        <v>0</v>
      </c>
      <c r="AL53" s="153"/>
      <c r="AM53" s="24">
        <v>14107</v>
      </c>
      <c r="AN53" s="153"/>
      <c r="AO53" s="24">
        <v>34200</v>
      </c>
      <c r="AP53" s="153"/>
      <c r="AQ53" s="152">
        <f t="shared" si="15"/>
        <v>387723</v>
      </c>
      <c r="AR53" s="144"/>
      <c r="AS53" s="153">
        <v>0</v>
      </c>
      <c r="AT53" s="153"/>
      <c r="AU53" s="153">
        <v>0</v>
      </c>
      <c r="AV53" s="153"/>
      <c r="AW53" s="152">
        <f t="shared" si="13"/>
        <v>8621765</v>
      </c>
      <c r="AX53" s="153"/>
      <c r="AY53" s="158" t="s">
        <v>47</v>
      </c>
      <c r="AZ53" s="153"/>
      <c r="BA53" s="24">
        <v>0</v>
      </c>
      <c r="BB53" s="153"/>
      <c r="BC53" s="24">
        <v>6590000</v>
      </c>
      <c r="BD53" s="153"/>
      <c r="BE53" s="24">
        <v>51259</v>
      </c>
      <c r="BF53" s="153"/>
      <c r="BG53" s="24">
        <v>8315</v>
      </c>
      <c r="BH53" s="153"/>
      <c r="BI53" s="153"/>
      <c r="BJ53" s="153"/>
      <c r="BK53" s="152">
        <f t="shared" si="14"/>
        <v>6649574</v>
      </c>
      <c r="BL53" s="83"/>
    </row>
    <row r="54" spans="1:64" ht="12.75" hidden="1">
      <c r="A54" s="77" t="s">
        <v>48</v>
      </c>
      <c r="B54" s="77"/>
      <c r="C54" s="152">
        <f t="shared" si="8"/>
        <v>0</v>
      </c>
      <c r="D54" s="152"/>
      <c r="E54" s="24"/>
      <c r="F54" s="152"/>
      <c r="G54" s="24"/>
      <c r="H54" s="152"/>
      <c r="I54" s="152">
        <f t="shared" si="9"/>
        <v>0</v>
      </c>
      <c r="J54" s="152"/>
      <c r="K54" s="24"/>
      <c r="L54" s="152"/>
      <c r="M54" s="24"/>
      <c r="N54" s="152"/>
      <c r="O54" s="24"/>
      <c r="P54" s="152"/>
      <c r="Q54" s="24"/>
      <c r="R54" s="152"/>
      <c r="S54" s="24"/>
      <c r="T54" s="152"/>
      <c r="U54" s="152">
        <f t="shared" si="10"/>
        <v>0</v>
      </c>
      <c r="V54" s="152"/>
      <c r="W54" s="152">
        <f t="shared" si="11"/>
        <v>0</v>
      </c>
      <c r="X54" s="152"/>
      <c r="Y54" s="158" t="s">
        <v>48</v>
      </c>
      <c r="Z54" s="152"/>
      <c r="AA54" s="24"/>
      <c r="AB54" s="153"/>
      <c r="AC54" s="24"/>
      <c r="AD54" s="153"/>
      <c r="AE54" s="24"/>
      <c r="AF54" s="153"/>
      <c r="AG54" s="152">
        <f>+AA54-AC54-AE54</f>
        <v>0</v>
      </c>
      <c r="AH54" s="144"/>
      <c r="AI54" s="24"/>
      <c r="AJ54" s="144"/>
      <c r="AK54" s="24">
        <v>0</v>
      </c>
      <c r="AL54" s="153"/>
      <c r="AM54" s="24"/>
      <c r="AN54" s="153"/>
      <c r="AO54" s="24"/>
      <c r="AP54" s="153"/>
      <c r="AQ54" s="152">
        <f t="shared" si="15"/>
        <v>0</v>
      </c>
      <c r="AR54" s="144"/>
      <c r="AS54" s="153">
        <v>0</v>
      </c>
      <c r="AT54" s="153"/>
      <c r="AU54" s="153">
        <v>0</v>
      </c>
      <c r="AV54" s="153"/>
      <c r="AW54" s="152">
        <f t="shared" si="13"/>
        <v>0</v>
      </c>
      <c r="AX54" s="153"/>
      <c r="AY54" s="158" t="s">
        <v>48</v>
      </c>
      <c r="AZ54" s="153"/>
      <c r="BA54" s="24"/>
      <c r="BB54" s="153"/>
      <c r="BC54" s="24"/>
      <c r="BD54" s="153"/>
      <c r="BE54" s="24"/>
      <c r="BF54" s="153"/>
      <c r="BG54" s="24"/>
      <c r="BH54" s="153"/>
      <c r="BI54" s="153"/>
      <c r="BJ54" s="153"/>
      <c r="BK54" s="152">
        <f t="shared" si="14"/>
        <v>0</v>
      </c>
      <c r="BL54" s="79"/>
    </row>
    <row r="55" spans="1:64" ht="12.75" hidden="1">
      <c r="A55" s="77" t="s">
        <v>169</v>
      </c>
      <c r="B55" s="77"/>
      <c r="C55" s="152">
        <f t="shared" si="8"/>
        <v>0</v>
      </c>
      <c r="D55" s="152"/>
      <c r="E55" s="24"/>
      <c r="F55" s="152"/>
      <c r="G55" s="24"/>
      <c r="H55" s="152"/>
      <c r="I55" s="152">
        <f t="shared" si="9"/>
        <v>0</v>
      </c>
      <c r="J55" s="152"/>
      <c r="K55" s="24"/>
      <c r="L55" s="152"/>
      <c r="M55" s="24"/>
      <c r="N55" s="152"/>
      <c r="O55" s="24"/>
      <c r="P55" s="152"/>
      <c r="Q55" s="24"/>
      <c r="R55" s="152"/>
      <c r="S55" s="24"/>
      <c r="T55" s="152"/>
      <c r="U55" s="152">
        <f t="shared" si="10"/>
        <v>0</v>
      </c>
      <c r="V55" s="152"/>
      <c r="W55" s="152">
        <f t="shared" si="11"/>
        <v>0</v>
      </c>
      <c r="X55" s="152"/>
      <c r="Y55" s="158" t="s">
        <v>169</v>
      </c>
      <c r="Z55" s="152"/>
      <c r="AA55" s="24"/>
      <c r="AB55" s="153"/>
      <c r="AC55" s="24"/>
      <c r="AD55" s="153"/>
      <c r="AE55" s="24"/>
      <c r="AF55" s="153"/>
      <c r="AG55" s="152">
        <f t="shared" si="12"/>
        <v>0</v>
      </c>
      <c r="AH55" s="144"/>
      <c r="AI55" s="24"/>
      <c r="AJ55" s="144"/>
      <c r="AK55" s="24">
        <v>0</v>
      </c>
      <c r="AL55" s="153"/>
      <c r="AM55" s="24"/>
      <c r="AN55" s="153"/>
      <c r="AO55" s="24"/>
      <c r="AP55" s="153"/>
      <c r="AQ55" s="152">
        <f t="shared" si="15"/>
        <v>0</v>
      </c>
      <c r="AR55" s="144"/>
      <c r="AS55" s="153">
        <v>0</v>
      </c>
      <c r="AT55" s="153"/>
      <c r="AU55" s="153">
        <v>0</v>
      </c>
      <c r="AV55" s="153"/>
      <c r="AW55" s="152">
        <f t="shared" si="13"/>
        <v>0</v>
      </c>
      <c r="AX55" s="153"/>
      <c r="AY55" s="158" t="s">
        <v>169</v>
      </c>
      <c r="AZ55" s="153"/>
      <c r="BA55" s="24"/>
      <c r="BB55" s="153"/>
      <c r="BC55" s="24"/>
      <c r="BD55" s="153"/>
      <c r="BE55" s="24"/>
      <c r="BF55" s="153"/>
      <c r="BG55" s="24"/>
      <c r="BH55" s="153"/>
      <c r="BI55" s="153"/>
      <c r="BJ55" s="153"/>
      <c r="BK55" s="152">
        <f t="shared" si="14"/>
        <v>0</v>
      </c>
      <c r="BL55" s="79"/>
    </row>
    <row r="56" spans="1:64" ht="12.75" hidden="1">
      <c r="A56" s="77" t="s">
        <v>49</v>
      </c>
      <c r="B56" s="77"/>
      <c r="C56" s="152">
        <f t="shared" si="8"/>
        <v>0</v>
      </c>
      <c r="D56" s="152"/>
      <c r="E56" s="24"/>
      <c r="F56" s="152"/>
      <c r="G56" s="24"/>
      <c r="H56" s="152"/>
      <c r="I56" s="152">
        <f t="shared" si="9"/>
        <v>0</v>
      </c>
      <c r="J56" s="152"/>
      <c r="K56" s="24"/>
      <c r="L56" s="152"/>
      <c r="M56" s="24"/>
      <c r="N56" s="152"/>
      <c r="O56" s="24"/>
      <c r="P56" s="152"/>
      <c r="Q56" s="24"/>
      <c r="R56" s="152"/>
      <c r="S56" s="24"/>
      <c r="T56" s="152"/>
      <c r="U56" s="152">
        <f t="shared" si="10"/>
        <v>0</v>
      </c>
      <c r="V56" s="152"/>
      <c r="W56" s="152">
        <f t="shared" si="11"/>
        <v>0</v>
      </c>
      <c r="X56" s="152"/>
      <c r="Y56" s="158" t="s">
        <v>49</v>
      </c>
      <c r="Z56" s="152"/>
      <c r="AA56" s="24"/>
      <c r="AB56" s="153"/>
      <c r="AC56" s="24"/>
      <c r="AD56" s="153"/>
      <c r="AE56" s="24"/>
      <c r="AF56" s="153"/>
      <c r="AG56" s="152">
        <f t="shared" si="12"/>
        <v>0</v>
      </c>
      <c r="AH56" s="144"/>
      <c r="AI56" s="24"/>
      <c r="AJ56" s="144"/>
      <c r="AK56" s="24">
        <v>0</v>
      </c>
      <c r="AL56" s="153"/>
      <c r="AM56" s="24"/>
      <c r="AN56" s="153"/>
      <c r="AO56" s="24"/>
      <c r="AP56" s="153"/>
      <c r="AQ56" s="152">
        <f t="shared" si="15"/>
        <v>0</v>
      </c>
      <c r="AR56" s="144"/>
      <c r="AS56" s="153">
        <v>0</v>
      </c>
      <c r="AT56" s="153"/>
      <c r="AU56" s="153">
        <v>0</v>
      </c>
      <c r="AV56" s="153"/>
      <c r="AW56" s="152">
        <f t="shared" si="13"/>
        <v>0</v>
      </c>
      <c r="AX56" s="153"/>
      <c r="AY56" s="158" t="s">
        <v>49</v>
      </c>
      <c r="AZ56" s="153"/>
      <c r="BA56" s="24"/>
      <c r="BB56" s="153"/>
      <c r="BC56" s="24"/>
      <c r="BD56" s="153"/>
      <c r="BE56" s="24"/>
      <c r="BF56" s="153"/>
      <c r="BG56" s="24"/>
      <c r="BH56" s="153"/>
      <c r="BI56" s="153"/>
      <c r="BJ56" s="153"/>
      <c r="BK56" s="152">
        <f t="shared" si="14"/>
        <v>0</v>
      </c>
      <c r="BL56" s="79"/>
    </row>
    <row r="57" spans="1:64" ht="12.75" hidden="1">
      <c r="A57" s="77" t="s">
        <v>50</v>
      </c>
      <c r="B57" s="77"/>
      <c r="C57" s="152">
        <f t="shared" si="8"/>
        <v>0</v>
      </c>
      <c r="D57" s="152"/>
      <c r="E57" s="24"/>
      <c r="F57" s="152"/>
      <c r="G57" s="24"/>
      <c r="H57" s="152"/>
      <c r="I57" s="152">
        <f t="shared" si="9"/>
        <v>0</v>
      </c>
      <c r="J57" s="152"/>
      <c r="K57" s="24"/>
      <c r="L57" s="152"/>
      <c r="M57" s="24"/>
      <c r="N57" s="152"/>
      <c r="O57" s="24"/>
      <c r="P57" s="152"/>
      <c r="Q57" s="24"/>
      <c r="R57" s="152"/>
      <c r="S57" s="24"/>
      <c r="T57" s="152"/>
      <c r="U57" s="152">
        <f t="shared" si="10"/>
        <v>0</v>
      </c>
      <c r="V57" s="152"/>
      <c r="W57" s="152">
        <f t="shared" si="11"/>
        <v>0</v>
      </c>
      <c r="X57" s="152"/>
      <c r="Y57" s="158" t="s">
        <v>50</v>
      </c>
      <c r="Z57" s="152"/>
      <c r="AA57" s="24"/>
      <c r="AB57" s="153"/>
      <c r="AC57" s="24"/>
      <c r="AD57" s="153"/>
      <c r="AE57" s="24"/>
      <c r="AF57" s="153"/>
      <c r="AG57" s="152">
        <f t="shared" si="12"/>
        <v>0</v>
      </c>
      <c r="AH57" s="144"/>
      <c r="AI57" s="24"/>
      <c r="AJ57" s="144"/>
      <c r="AK57" s="24">
        <v>0</v>
      </c>
      <c r="AL57" s="153"/>
      <c r="AM57" s="24"/>
      <c r="AN57" s="153"/>
      <c r="AO57" s="24"/>
      <c r="AP57" s="153"/>
      <c r="AQ57" s="152">
        <f t="shared" si="15"/>
        <v>0</v>
      </c>
      <c r="AR57" s="144"/>
      <c r="AS57" s="153">
        <v>0</v>
      </c>
      <c r="AT57" s="153"/>
      <c r="AU57" s="153">
        <v>0</v>
      </c>
      <c r="AV57" s="153"/>
      <c r="AW57" s="152">
        <f t="shared" si="13"/>
        <v>0</v>
      </c>
      <c r="AX57" s="153"/>
      <c r="AY57" s="158" t="s">
        <v>50</v>
      </c>
      <c r="AZ57" s="153"/>
      <c r="BA57" s="24"/>
      <c r="BB57" s="153"/>
      <c r="BC57" s="24"/>
      <c r="BD57" s="153"/>
      <c r="BE57" s="24"/>
      <c r="BF57" s="153"/>
      <c r="BG57" s="24"/>
      <c r="BH57" s="153"/>
      <c r="BI57" s="153"/>
      <c r="BJ57" s="153"/>
      <c r="BK57" s="152">
        <f t="shared" si="14"/>
        <v>0</v>
      </c>
      <c r="BL57" s="79"/>
    </row>
    <row r="58" spans="1:64" ht="12.75">
      <c r="A58" s="77" t="s">
        <v>244</v>
      </c>
      <c r="B58" s="77"/>
      <c r="C58" s="152">
        <f t="shared" si="8"/>
        <v>6894011</v>
      </c>
      <c r="D58" s="152"/>
      <c r="E58" s="24">
        <v>16770921</v>
      </c>
      <c r="F58" s="152"/>
      <c r="G58" s="24">
        <v>23664932</v>
      </c>
      <c r="H58" s="152"/>
      <c r="I58" s="152">
        <f t="shared" si="9"/>
        <v>1843972</v>
      </c>
      <c r="J58" s="152"/>
      <c r="K58" s="24">
        <v>8809942</v>
      </c>
      <c r="L58" s="152"/>
      <c r="M58" s="24">
        <v>10653914</v>
      </c>
      <c r="N58" s="152"/>
      <c r="O58" s="24">
        <v>7587272</v>
      </c>
      <c r="P58" s="152"/>
      <c r="Q58" s="24">
        <v>0</v>
      </c>
      <c r="R58" s="152"/>
      <c r="S58" s="24">
        <v>5423746</v>
      </c>
      <c r="T58" s="152"/>
      <c r="U58" s="152">
        <f t="shared" si="10"/>
        <v>13011018</v>
      </c>
      <c r="V58" s="152"/>
      <c r="W58" s="152">
        <f t="shared" si="11"/>
        <v>0</v>
      </c>
      <c r="X58" s="152"/>
      <c r="Y58" s="158" t="s">
        <v>51</v>
      </c>
      <c r="Z58" s="152"/>
      <c r="AA58" s="24">
        <v>4987223</v>
      </c>
      <c r="AB58" s="153"/>
      <c r="AC58" s="24">
        <f>829322-397981</f>
        <v>431341</v>
      </c>
      <c r="AD58" s="153"/>
      <c r="AE58" s="24">
        <v>397981</v>
      </c>
      <c r="AF58" s="153"/>
      <c r="AG58" s="152">
        <f t="shared" si="12"/>
        <v>4157901</v>
      </c>
      <c r="AH58" s="144"/>
      <c r="AI58" s="24">
        <v>-444322</v>
      </c>
      <c r="AJ58" s="144"/>
      <c r="AK58" s="24">
        <v>0</v>
      </c>
      <c r="AL58" s="153"/>
      <c r="AM58" s="24">
        <v>0</v>
      </c>
      <c r="AN58" s="153"/>
      <c r="AO58" s="24">
        <v>0</v>
      </c>
      <c r="AP58" s="153"/>
      <c r="AQ58" s="152">
        <f t="shared" si="15"/>
        <v>3713579</v>
      </c>
      <c r="AR58" s="144"/>
      <c r="AS58" s="153">
        <v>0</v>
      </c>
      <c r="AT58" s="153"/>
      <c r="AU58" s="153">
        <v>0</v>
      </c>
      <c r="AV58" s="153"/>
      <c r="AW58" s="152">
        <f t="shared" si="13"/>
        <v>5050039</v>
      </c>
      <c r="AX58" s="153"/>
      <c r="AY58" s="158" t="s">
        <v>51</v>
      </c>
      <c r="AZ58" s="153"/>
      <c r="BA58" s="24">
        <v>7140000</v>
      </c>
      <c r="BB58" s="153"/>
      <c r="BC58" s="24">
        <v>0</v>
      </c>
      <c r="BD58" s="153"/>
      <c r="BE58" s="24">
        <f>206580+124963</f>
        <v>331543</v>
      </c>
      <c r="BF58" s="153"/>
      <c r="BG58" s="24">
        <f>38399+1300000</f>
        <v>1338399</v>
      </c>
      <c r="BH58" s="153"/>
      <c r="BI58" s="153"/>
      <c r="BJ58" s="153"/>
      <c r="BK58" s="152">
        <f t="shared" si="14"/>
        <v>8809942</v>
      </c>
      <c r="BL58" s="79"/>
    </row>
    <row r="59" spans="1:64" ht="12.75">
      <c r="A59" s="77" t="s">
        <v>182</v>
      </c>
      <c r="B59" s="77"/>
      <c r="C59" s="152">
        <f t="shared" si="8"/>
        <v>4797681</v>
      </c>
      <c r="D59" s="152"/>
      <c r="E59" s="24">
        <v>35536084</v>
      </c>
      <c r="F59" s="152"/>
      <c r="G59" s="24">
        <v>40333765</v>
      </c>
      <c r="H59" s="152"/>
      <c r="I59" s="152">
        <f t="shared" si="9"/>
        <v>555107</v>
      </c>
      <c r="J59" s="152"/>
      <c r="K59" s="24">
        <v>1670688</v>
      </c>
      <c r="L59" s="152"/>
      <c r="M59" s="24">
        <v>2225795</v>
      </c>
      <c r="N59" s="152"/>
      <c r="O59" s="24">
        <v>33462993</v>
      </c>
      <c r="P59" s="152"/>
      <c r="Q59" s="24">
        <v>0</v>
      </c>
      <c r="R59" s="152"/>
      <c r="S59" s="24">
        <v>4644977</v>
      </c>
      <c r="T59" s="152"/>
      <c r="U59" s="152">
        <f t="shared" si="10"/>
        <v>38107970</v>
      </c>
      <c r="V59" s="152"/>
      <c r="W59" s="152">
        <f t="shared" si="11"/>
        <v>0</v>
      </c>
      <c r="X59" s="152"/>
      <c r="Y59" s="158" t="s">
        <v>182</v>
      </c>
      <c r="Z59" s="152"/>
      <c r="AA59" s="24">
        <v>1492030</v>
      </c>
      <c r="AB59" s="153"/>
      <c r="AC59" s="24">
        <f>2758246-1764452</f>
        <v>993794</v>
      </c>
      <c r="AD59" s="153"/>
      <c r="AE59" s="24">
        <v>1764452</v>
      </c>
      <c r="AF59" s="153"/>
      <c r="AG59" s="152">
        <f t="shared" si="12"/>
        <v>-1266216</v>
      </c>
      <c r="AH59" s="144"/>
      <c r="AI59" s="24">
        <v>465164</v>
      </c>
      <c r="AJ59" s="144"/>
      <c r="AK59" s="24">
        <v>0</v>
      </c>
      <c r="AL59" s="153"/>
      <c r="AM59" s="24">
        <v>0</v>
      </c>
      <c r="AN59" s="153"/>
      <c r="AO59" s="24">
        <v>1205695</v>
      </c>
      <c r="AP59" s="153"/>
      <c r="AQ59" s="152">
        <f t="shared" si="15"/>
        <v>404643</v>
      </c>
      <c r="AR59" s="144"/>
      <c r="AS59" s="153">
        <v>0</v>
      </c>
      <c r="AT59" s="153"/>
      <c r="AU59" s="153">
        <v>0</v>
      </c>
      <c r="AV59" s="153"/>
      <c r="AW59" s="152">
        <f t="shared" si="13"/>
        <v>4242574</v>
      </c>
      <c r="AX59" s="153"/>
      <c r="AY59" s="158" t="s">
        <v>182</v>
      </c>
      <c r="AZ59" s="153"/>
      <c r="BA59" s="24">
        <v>0</v>
      </c>
      <c r="BB59" s="153"/>
      <c r="BC59" s="24">
        <v>0</v>
      </c>
      <c r="BD59" s="153"/>
      <c r="BE59" s="24">
        <f>408289+1262399</f>
        <v>1670688</v>
      </c>
      <c r="BF59" s="153"/>
      <c r="BG59" s="24">
        <v>0</v>
      </c>
      <c r="BH59" s="153"/>
      <c r="BI59" s="153"/>
      <c r="BJ59" s="153"/>
      <c r="BK59" s="152">
        <f t="shared" si="14"/>
        <v>1670688</v>
      </c>
      <c r="BL59" s="79"/>
    </row>
    <row r="60" spans="1:64" ht="12.75" hidden="1">
      <c r="A60" s="77" t="s">
        <v>52</v>
      </c>
      <c r="B60" s="77"/>
      <c r="C60" s="152">
        <f t="shared" si="8"/>
        <v>0</v>
      </c>
      <c r="D60" s="152"/>
      <c r="E60" s="24"/>
      <c r="F60" s="152"/>
      <c r="G60" s="24"/>
      <c r="H60" s="152"/>
      <c r="I60" s="152">
        <f t="shared" si="9"/>
        <v>0</v>
      </c>
      <c r="J60" s="152"/>
      <c r="K60" s="24"/>
      <c r="L60" s="152"/>
      <c r="M60" s="24"/>
      <c r="N60" s="152"/>
      <c r="O60" s="24"/>
      <c r="P60" s="152"/>
      <c r="Q60" s="24"/>
      <c r="R60" s="152"/>
      <c r="S60" s="24"/>
      <c r="T60" s="152"/>
      <c r="U60" s="152">
        <f t="shared" si="10"/>
        <v>0</v>
      </c>
      <c r="V60" s="152"/>
      <c r="W60" s="152">
        <f t="shared" si="11"/>
        <v>0</v>
      </c>
      <c r="X60" s="152"/>
      <c r="Y60" s="158" t="s">
        <v>52</v>
      </c>
      <c r="Z60" s="152"/>
      <c r="AA60" s="24"/>
      <c r="AB60" s="153"/>
      <c r="AC60" s="24"/>
      <c r="AD60" s="153"/>
      <c r="AE60" s="24"/>
      <c r="AF60" s="153"/>
      <c r="AG60" s="152">
        <f t="shared" si="12"/>
        <v>0</v>
      </c>
      <c r="AH60" s="144"/>
      <c r="AI60" s="24"/>
      <c r="AJ60" s="144"/>
      <c r="AK60" s="24">
        <v>0</v>
      </c>
      <c r="AL60" s="153"/>
      <c r="AM60" s="24"/>
      <c r="AN60" s="153"/>
      <c r="AO60" s="24"/>
      <c r="AP60" s="153"/>
      <c r="AQ60" s="152">
        <f t="shared" si="15"/>
        <v>0</v>
      </c>
      <c r="AR60" s="144"/>
      <c r="AS60" s="153">
        <v>0</v>
      </c>
      <c r="AT60" s="153"/>
      <c r="AU60" s="153">
        <v>0</v>
      </c>
      <c r="AV60" s="153"/>
      <c r="AW60" s="152">
        <f t="shared" si="13"/>
        <v>0</v>
      </c>
      <c r="AX60" s="153"/>
      <c r="AY60" s="158" t="s">
        <v>52</v>
      </c>
      <c r="AZ60" s="153"/>
      <c r="BA60" s="24"/>
      <c r="BB60" s="153"/>
      <c r="BC60" s="24"/>
      <c r="BD60" s="153"/>
      <c r="BE60" s="24"/>
      <c r="BF60" s="153"/>
      <c r="BG60" s="24"/>
      <c r="BH60" s="153"/>
      <c r="BI60" s="153"/>
      <c r="BJ60" s="153"/>
      <c r="BK60" s="152">
        <f t="shared" si="14"/>
        <v>0</v>
      </c>
      <c r="BL60" s="79"/>
    </row>
    <row r="61" spans="1:64" ht="12.75">
      <c r="A61" s="77" t="s">
        <v>53</v>
      </c>
      <c r="B61" s="77"/>
      <c r="C61" s="152">
        <f t="shared" si="8"/>
        <v>18297850</v>
      </c>
      <c r="D61" s="152"/>
      <c r="E61" s="24">
        <v>87846144</v>
      </c>
      <c r="F61" s="152"/>
      <c r="G61" s="24">
        <v>106143994</v>
      </c>
      <c r="H61" s="152"/>
      <c r="I61" s="152">
        <f t="shared" si="9"/>
        <v>4218815</v>
      </c>
      <c r="J61" s="152"/>
      <c r="K61" s="24">
        <v>26722924</v>
      </c>
      <c r="L61" s="152"/>
      <c r="M61" s="24">
        <v>30941739</v>
      </c>
      <c r="N61" s="152"/>
      <c r="O61" s="24">
        <v>43820697</v>
      </c>
      <c r="P61" s="152"/>
      <c r="Q61" s="24">
        <v>14872863</v>
      </c>
      <c r="R61" s="152"/>
      <c r="S61" s="24">
        <v>16508695</v>
      </c>
      <c r="T61" s="152"/>
      <c r="U61" s="152">
        <f t="shared" si="10"/>
        <v>75202255</v>
      </c>
      <c r="V61" s="152"/>
      <c r="W61" s="152">
        <f t="shared" si="11"/>
        <v>0</v>
      </c>
      <c r="X61" s="152"/>
      <c r="Y61" s="158" t="s">
        <v>53</v>
      </c>
      <c r="Z61" s="152"/>
      <c r="AA61" s="24">
        <v>20864469</v>
      </c>
      <c r="AB61" s="153"/>
      <c r="AC61" s="24">
        <f>19478440-3218822</f>
        <v>16259618</v>
      </c>
      <c r="AD61" s="153"/>
      <c r="AE61" s="24">
        <v>3218822</v>
      </c>
      <c r="AF61" s="153"/>
      <c r="AG61" s="152">
        <f t="shared" si="12"/>
        <v>1386029</v>
      </c>
      <c r="AH61" s="144"/>
      <c r="AI61" s="24">
        <v>-314353</v>
      </c>
      <c r="AJ61" s="144"/>
      <c r="AK61" s="24">
        <v>0</v>
      </c>
      <c r="AL61" s="153"/>
      <c r="AM61" s="24">
        <v>475000</v>
      </c>
      <c r="AN61" s="153"/>
      <c r="AO61" s="24">
        <v>1667503</v>
      </c>
      <c r="AP61" s="153"/>
      <c r="AQ61" s="152">
        <f t="shared" si="15"/>
        <v>2264179</v>
      </c>
      <c r="AR61" s="144"/>
      <c r="AS61" s="153">
        <v>0</v>
      </c>
      <c r="AT61" s="153"/>
      <c r="AU61" s="153">
        <v>0</v>
      </c>
      <c r="AV61" s="153"/>
      <c r="AW61" s="152">
        <f t="shared" si="13"/>
        <v>14079035</v>
      </c>
      <c r="AX61" s="153"/>
      <c r="AY61" s="158" t="s">
        <v>53</v>
      </c>
      <c r="AZ61" s="153"/>
      <c r="BA61" s="24">
        <v>0</v>
      </c>
      <c r="BB61" s="153"/>
      <c r="BC61" s="24">
        <v>19765080</v>
      </c>
      <c r="BD61" s="153"/>
      <c r="BE61" s="24">
        <f>3373588+2822734</f>
        <v>6196322</v>
      </c>
      <c r="BF61" s="153"/>
      <c r="BG61" s="24">
        <f>701448+60074</f>
        <v>761522</v>
      </c>
      <c r="BH61" s="153"/>
      <c r="BI61" s="153"/>
      <c r="BJ61" s="153"/>
      <c r="BK61" s="152">
        <f t="shared" si="14"/>
        <v>26722924</v>
      </c>
      <c r="BL61" s="79"/>
    </row>
    <row r="62" spans="1:64" ht="12.75">
      <c r="A62" s="77" t="s">
        <v>54</v>
      </c>
      <c r="B62" s="77"/>
      <c r="C62" s="152">
        <f t="shared" si="8"/>
        <v>3472419</v>
      </c>
      <c r="D62" s="152"/>
      <c r="E62" s="24">
        <v>7572564</v>
      </c>
      <c r="F62" s="152"/>
      <c r="G62" s="24">
        <v>11044983</v>
      </c>
      <c r="H62" s="152"/>
      <c r="I62" s="152">
        <f t="shared" si="9"/>
        <v>237879</v>
      </c>
      <c r="J62" s="152"/>
      <c r="K62" s="24">
        <v>1987993</v>
      </c>
      <c r="L62" s="152"/>
      <c r="M62" s="24">
        <v>2225872</v>
      </c>
      <c r="N62" s="152"/>
      <c r="O62" s="24">
        <v>5444565</v>
      </c>
      <c r="P62" s="152"/>
      <c r="Q62" s="24">
        <v>0</v>
      </c>
      <c r="R62" s="152"/>
      <c r="S62" s="24">
        <v>3374546</v>
      </c>
      <c r="T62" s="152"/>
      <c r="U62" s="152">
        <f t="shared" si="10"/>
        <v>8819111</v>
      </c>
      <c r="V62" s="152"/>
      <c r="W62" s="152">
        <f t="shared" si="11"/>
        <v>0</v>
      </c>
      <c r="X62" s="152"/>
      <c r="Y62" s="158" t="s">
        <v>54</v>
      </c>
      <c r="Z62" s="152"/>
      <c r="AA62" s="24">
        <v>1042595</v>
      </c>
      <c r="AB62" s="153"/>
      <c r="AC62" s="24">
        <f>1167968-337895</f>
        <v>830073</v>
      </c>
      <c r="AD62" s="153"/>
      <c r="AE62" s="24">
        <v>337895</v>
      </c>
      <c r="AF62" s="153"/>
      <c r="AG62" s="152">
        <f t="shared" si="12"/>
        <v>-125373</v>
      </c>
      <c r="AH62" s="144"/>
      <c r="AI62" s="24">
        <v>-83610</v>
      </c>
      <c r="AJ62" s="144"/>
      <c r="AK62" s="24">
        <v>0</v>
      </c>
      <c r="AL62" s="153"/>
      <c r="AM62" s="24">
        <v>0</v>
      </c>
      <c r="AN62" s="153"/>
      <c r="AO62" s="24">
        <v>104264</v>
      </c>
      <c r="AP62" s="153"/>
      <c r="AQ62" s="152">
        <f t="shared" si="15"/>
        <v>-104719</v>
      </c>
      <c r="AR62" s="144"/>
      <c r="AS62" s="153">
        <v>0</v>
      </c>
      <c r="AT62" s="153"/>
      <c r="AU62" s="153">
        <v>0</v>
      </c>
      <c r="AV62" s="153"/>
      <c r="AW62" s="152">
        <f t="shared" si="13"/>
        <v>3234540</v>
      </c>
      <c r="AX62" s="153"/>
      <c r="AY62" s="158" t="s">
        <v>54</v>
      </c>
      <c r="AZ62" s="153"/>
      <c r="BA62" s="24">
        <v>1780000</v>
      </c>
      <c r="BB62" s="153"/>
      <c r="BC62" s="24">
        <v>0</v>
      </c>
      <c r="BD62" s="153"/>
      <c r="BE62" s="24">
        <v>191378</v>
      </c>
      <c r="BF62" s="153"/>
      <c r="BG62" s="24">
        <v>16615</v>
      </c>
      <c r="BH62" s="153"/>
      <c r="BI62" s="153"/>
      <c r="BJ62" s="153"/>
      <c r="BK62" s="152">
        <f t="shared" si="14"/>
        <v>1987993</v>
      </c>
      <c r="BL62" s="83"/>
    </row>
    <row r="63" spans="1:64" ht="12.75">
      <c r="A63" s="77" t="s">
        <v>55</v>
      </c>
      <c r="B63" s="77"/>
      <c r="C63" s="152">
        <f t="shared" si="8"/>
        <v>13484218</v>
      </c>
      <c r="D63" s="152"/>
      <c r="E63" s="24">
        <v>143227173</v>
      </c>
      <c r="F63" s="152"/>
      <c r="G63" s="24">
        <v>156711391</v>
      </c>
      <c r="H63" s="152"/>
      <c r="I63" s="152">
        <f t="shared" si="9"/>
        <v>4907808</v>
      </c>
      <c r="J63" s="152"/>
      <c r="K63" s="24">
        <v>36756810</v>
      </c>
      <c r="L63" s="152"/>
      <c r="M63" s="24">
        <v>41664618</v>
      </c>
      <c r="N63" s="152"/>
      <c r="O63" s="24">
        <v>103754669</v>
      </c>
      <c r="P63" s="152"/>
      <c r="Q63" s="24">
        <v>0</v>
      </c>
      <c r="R63" s="152"/>
      <c r="S63" s="24">
        <v>11292104</v>
      </c>
      <c r="T63" s="152"/>
      <c r="U63" s="152">
        <f t="shared" si="10"/>
        <v>115046773</v>
      </c>
      <c r="V63" s="152"/>
      <c r="W63" s="152">
        <f t="shared" si="11"/>
        <v>0</v>
      </c>
      <c r="X63" s="152"/>
      <c r="Y63" s="158" t="s">
        <v>55</v>
      </c>
      <c r="Z63" s="152"/>
      <c r="AA63" s="24">
        <v>10634857</v>
      </c>
      <c r="AB63" s="153"/>
      <c r="AC63" s="24">
        <f>16928738-4632549</f>
        <v>12296189</v>
      </c>
      <c r="AD63" s="153"/>
      <c r="AE63" s="24">
        <v>4632549</v>
      </c>
      <c r="AF63" s="153"/>
      <c r="AG63" s="152">
        <f t="shared" si="12"/>
        <v>-6293881</v>
      </c>
      <c r="AH63" s="144"/>
      <c r="AI63" s="24">
        <v>-1403359</v>
      </c>
      <c r="AJ63" s="144"/>
      <c r="AK63" s="24">
        <v>0</v>
      </c>
      <c r="AL63" s="153"/>
      <c r="AM63" s="24">
        <v>0</v>
      </c>
      <c r="AN63" s="153"/>
      <c r="AO63" s="24">
        <v>5960251</v>
      </c>
      <c r="AP63" s="153"/>
      <c r="AQ63" s="152">
        <f t="shared" si="15"/>
        <v>-1736989</v>
      </c>
      <c r="AR63" s="144"/>
      <c r="AS63" s="153">
        <v>0</v>
      </c>
      <c r="AT63" s="153"/>
      <c r="AU63" s="153">
        <v>0</v>
      </c>
      <c r="AV63" s="153"/>
      <c r="AW63" s="152">
        <f t="shared" si="13"/>
        <v>8576410</v>
      </c>
      <c r="AX63" s="153"/>
      <c r="AY63" s="158" t="s">
        <v>55</v>
      </c>
      <c r="AZ63" s="153"/>
      <c r="BA63" s="24">
        <v>0</v>
      </c>
      <c r="BB63" s="153"/>
      <c r="BC63" s="24">
        <v>0</v>
      </c>
      <c r="BD63" s="153"/>
      <c r="BE63" s="24">
        <f>35657834+459211</f>
        <v>36117045</v>
      </c>
      <c r="BF63" s="153"/>
      <c r="BG63" s="24">
        <v>639765</v>
      </c>
      <c r="BH63" s="153"/>
      <c r="BI63" s="153"/>
      <c r="BJ63" s="153"/>
      <c r="BK63" s="152">
        <f t="shared" si="14"/>
        <v>36756810</v>
      </c>
      <c r="BL63" s="83"/>
    </row>
    <row r="64" spans="1:65" ht="12.75" hidden="1">
      <c r="A64" s="32" t="s">
        <v>170</v>
      </c>
      <c r="B64" s="32"/>
      <c r="C64" s="152">
        <f t="shared" si="8"/>
        <v>0</v>
      </c>
      <c r="D64" s="152"/>
      <c r="E64" s="24"/>
      <c r="F64" s="152"/>
      <c r="G64" s="24"/>
      <c r="H64" s="152"/>
      <c r="I64" s="152">
        <f t="shared" si="9"/>
        <v>0</v>
      </c>
      <c r="J64" s="152"/>
      <c r="K64" s="24"/>
      <c r="L64" s="152"/>
      <c r="M64" s="24"/>
      <c r="N64" s="152"/>
      <c r="O64" s="24"/>
      <c r="P64" s="152"/>
      <c r="Q64" s="24"/>
      <c r="R64" s="152"/>
      <c r="S64" s="24"/>
      <c r="T64" s="152"/>
      <c r="U64" s="152">
        <f t="shared" si="10"/>
        <v>0</v>
      </c>
      <c r="V64" s="152"/>
      <c r="W64" s="152">
        <f t="shared" si="11"/>
        <v>0</v>
      </c>
      <c r="X64" s="152"/>
      <c r="Y64" s="143" t="s">
        <v>170</v>
      </c>
      <c r="Z64" s="152"/>
      <c r="AA64" s="24"/>
      <c r="AB64" s="153"/>
      <c r="AC64" s="24"/>
      <c r="AD64" s="153"/>
      <c r="AE64" s="24"/>
      <c r="AF64" s="153"/>
      <c r="AG64" s="152">
        <f t="shared" si="12"/>
        <v>0</v>
      </c>
      <c r="AH64" s="144"/>
      <c r="AI64" s="24"/>
      <c r="AJ64" s="144"/>
      <c r="AK64" s="24">
        <v>0</v>
      </c>
      <c r="AL64" s="153"/>
      <c r="AM64" s="24"/>
      <c r="AN64" s="153"/>
      <c r="AO64" s="24"/>
      <c r="AP64" s="153"/>
      <c r="AQ64" s="152">
        <f t="shared" si="15"/>
        <v>0</v>
      </c>
      <c r="AR64" s="144"/>
      <c r="AS64" s="153">
        <v>0</v>
      </c>
      <c r="AT64" s="153"/>
      <c r="AU64" s="153">
        <v>0</v>
      </c>
      <c r="AV64" s="153"/>
      <c r="AW64" s="152">
        <f t="shared" si="13"/>
        <v>0</v>
      </c>
      <c r="AX64" s="152"/>
      <c r="AY64" s="143" t="s">
        <v>170</v>
      </c>
      <c r="AZ64" s="152"/>
      <c r="BA64" s="24"/>
      <c r="BB64" s="153"/>
      <c r="BC64" s="24"/>
      <c r="BD64" s="153"/>
      <c r="BE64" s="24"/>
      <c r="BF64" s="153"/>
      <c r="BG64" s="24"/>
      <c r="BH64" s="153"/>
      <c r="BI64" s="153"/>
      <c r="BJ64" s="153"/>
      <c r="BK64" s="152">
        <f t="shared" si="14"/>
        <v>0</v>
      </c>
      <c r="BL64" s="79"/>
      <c r="BM64" s="79"/>
    </row>
    <row r="65" spans="1:64" ht="12.75" hidden="1">
      <c r="A65" s="77" t="s">
        <v>56</v>
      </c>
      <c r="B65" s="77"/>
      <c r="C65" s="152">
        <f t="shared" si="8"/>
        <v>0</v>
      </c>
      <c r="D65" s="152"/>
      <c r="E65" s="24"/>
      <c r="F65" s="152"/>
      <c r="G65" s="24"/>
      <c r="H65" s="152"/>
      <c r="I65" s="152">
        <f t="shared" si="9"/>
        <v>0</v>
      </c>
      <c r="J65" s="152"/>
      <c r="K65" s="24"/>
      <c r="L65" s="152"/>
      <c r="M65" s="24"/>
      <c r="N65" s="152"/>
      <c r="O65" s="24"/>
      <c r="P65" s="152"/>
      <c r="Q65" s="24"/>
      <c r="R65" s="152"/>
      <c r="S65" s="24"/>
      <c r="T65" s="152"/>
      <c r="U65" s="152">
        <f t="shared" si="10"/>
        <v>0</v>
      </c>
      <c r="V65" s="152"/>
      <c r="W65" s="152">
        <f t="shared" si="11"/>
        <v>0</v>
      </c>
      <c r="X65" s="152"/>
      <c r="Y65" s="158" t="s">
        <v>56</v>
      </c>
      <c r="Z65" s="152"/>
      <c r="AA65" s="24"/>
      <c r="AB65" s="153"/>
      <c r="AC65" s="24"/>
      <c r="AD65" s="153"/>
      <c r="AE65" s="24"/>
      <c r="AF65" s="153"/>
      <c r="AG65" s="152">
        <f t="shared" si="12"/>
        <v>0</v>
      </c>
      <c r="AH65" s="144"/>
      <c r="AI65" s="24"/>
      <c r="AJ65" s="144"/>
      <c r="AK65" s="24">
        <v>0</v>
      </c>
      <c r="AL65" s="153"/>
      <c r="AM65" s="24"/>
      <c r="AN65" s="153"/>
      <c r="AO65" s="24"/>
      <c r="AP65" s="153"/>
      <c r="AQ65" s="152">
        <f t="shared" si="15"/>
        <v>0</v>
      </c>
      <c r="AR65" s="144"/>
      <c r="AS65" s="153">
        <v>0</v>
      </c>
      <c r="AT65" s="153"/>
      <c r="AU65" s="153">
        <v>0</v>
      </c>
      <c r="AV65" s="153"/>
      <c r="AW65" s="152">
        <f t="shared" si="13"/>
        <v>0</v>
      </c>
      <c r="AX65" s="153"/>
      <c r="AY65" s="158" t="s">
        <v>56</v>
      </c>
      <c r="AZ65" s="153"/>
      <c r="BA65" s="24"/>
      <c r="BB65" s="153"/>
      <c r="BC65" s="24"/>
      <c r="BD65" s="153"/>
      <c r="BE65" s="24"/>
      <c r="BF65" s="153"/>
      <c r="BG65" s="24"/>
      <c r="BH65" s="153"/>
      <c r="BI65" s="153"/>
      <c r="BJ65" s="153"/>
      <c r="BK65" s="152">
        <f t="shared" si="14"/>
        <v>0</v>
      </c>
      <c r="BL65" s="79"/>
    </row>
    <row r="66" spans="1:64" ht="12.75">
      <c r="A66" s="77" t="s">
        <v>57</v>
      </c>
      <c r="B66" s="77"/>
      <c r="C66" s="152">
        <f t="shared" si="8"/>
        <v>2063960</v>
      </c>
      <c r="D66" s="152"/>
      <c r="E66" s="24">
        <v>19007863</v>
      </c>
      <c r="F66" s="152"/>
      <c r="G66" s="24">
        <v>21071823</v>
      </c>
      <c r="H66" s="152"/>
      <c r="I66" s="152">
        <f t="shared" si="9"/>
        <v>1232471</v>
      </c>
      <c r="J66" s="152"/>
      <c r="K66" s="24">
        <v>10081883</v>
      </c>
      <c r="L66" s="152"/>
      <c r="M66" s="24">
        <v>11314354</v>
      </c>
      <c r="N66" s="152"/>
      <c r="O66" s="24">
        <v>8037476</v>
      </c>
      <c r="P66" s="152"/>
      <c r="Q66" s="24">
        <v>0</v>
      </c>
      <c r="R66" s="152"/>
      <c r="S66" s="24">
        <v>1719993</v>
      </c>
      <c r="T66" s="152"/>
      <c r="U66" s="152">
        <f t="shared" si="10"/>
        <v>9757469</v>
      </c>
      <c r="V66" s="152"/>
      <c r="W66" s="152">
        <f t="shared" si="11"/>
        <v>0</v>
      </c>
      <c r="X66" s="152"/>
      <c r="Y66" s="158" t="s">
        <v>57</v>
      </c>
      <c r="Z66" s="152"/>
      <c r="AA66" s="24">
        <v>2210553</v>
      </c>
      <c r="AB66" s="153"/>
      <c r="AC66" s="24">
        <f>2784678-454085</f>
        <v>2330593</v>
      </c>
      <c r="AD66" s="153"/>
      <c r="AE66" s="24">
        <v>454085</v>
      </c>
      <c r="AF66" s="153"/>
      <c r="AG66" s="152">
        <f t="shared" si="12"/>
        <v>-574125</v>
      </c>
      <c r="AH66" s="144"/>
      <c r="AI66" s="24">
        <v>441896</v>
      </c>
      <c r="AJ66" s="144"/>
      <c r="AK66" s="24">
        <v>0</v>
      </c>
      <c r="AL66" s="153"/>
      <c r="AM66" s="24">
        <v>0</v>
      </c>
      <c r="AN66" s="153"/>
      <c r="AO66" s="24">
        <v>778844</v>
      </c>
      <c r="AP66" s="153"/>
      <c r="AQ66" s="152">
        <f t="shared" si="15"/>
        <v>646615</v>
      </c>
      <c r="AR66" s="144"/>
      <c r="AS66" s="153">
        <v>0</v>
      </c>
      <c r="AT66" s="153"/>
      <c r="AU66" s="153">
        <v>0</v>
      </c>
      <c r="AV66" s="153"/>
      <c r="AW66" s="152">
        <f t="shared" si="13"/>
        <v>831489</v>
      </c>
      <c r="AX66" s="153"/>
      <c r="AY66" s="158" t="s">
        <v>57</v>
      </c>
      <c r="AZ66" s="153"/>
      <c r="BA66" s="24">
        <v>4293131</v>
      </c>
      <c r="BB66" s="153"/>
      <c r="BC66" s="24">
        <v>0</v>
      </c>
      <c r="BD66" s="153"/>
      <c r="BE66" s="24">
        <f>5420690+349200</f>
        <v>5769890</v>
      </c>
      <c r="BF66" s="153"/>
      <c r="BG66" s="24">
        <v>18862</v>
      </c>
      <c r="BH66" s="153"/>
      <c r="BI66" s="153"/>
      <c r="BJ66" s="153"/>
      <c r="BK66" s="152">
        <f t="shared" si="14"/>
        <v>10081883</v>
      </c>
      <c r="BL66" s="83"/>
    </row>
    <row r="67" spans="1:64" ht="12.75" hidden="1">
      <c r="A67" s="77" t="s">
        <v>58</v>
      </c>
      <c r="B67" s="77"/>
      <c r="C67" s="35">
        <f t="shared" si="8"/>
        <v>0</v>
      </c>
      <c r="D67" s="35"/>
      <c r="E67" s="24"/>
      <c r="F67" s="35"/>
      <c r="G67" s="24"/>
      <c r="H67" s="35"/>
      <c r="I67" s="35">
        <f t="shared" si="9"/>
        <v>0</v>
      </c>
      <c r="J67" s="35"/>
      <c r="K67" s="24"/>
      <c r="L67" s="35"/>
      <c r="M67" s="24"/>
      <c r="N67" s="35"/>
      <c r="O67" s="24"/>
      <c r="P67" s="35"/>
      <c r="Q67" s="24"/>
      <c r="R67" s="35"/>
      <c r="S67" s="24"/>
      <c r="T67" s="35"/>
      <c r="U67" s="35">
        <f t="shared" si="10"/>
        <v>0</v>
      </c>
      <c r="V67" s="35"/>
      <c r="W67" s="35">
        <f t="shared" si="11"/>
        <v>0</v>
      </c>
      <c r="X67" s="35"/>
      <c r="Y67" s="81" t="s">
        <v>58</v>
      </c>
      <c r="Z67" s="35"/>
      <c r="AA67" s="24"/>
      <c r="AB67" s="17"/>
      <c r="AC67" s="24"/>
      <c r="AD67" s="17"/>
      <c r="AE67" s="24"/>
      <c r="AF67" s="17"/>
      <c r="AG67" s="35">
        <f t="shared" si="12"/>
        <v>0</v>
      </c>
      <c r="AH67" s="40"/>
      <c r="AI67" s="24"/>
      <c r="AJ67" s="40"/>
      <c r="AK67" s="24"/>
      <c r="AL67" s="17"/>
      <c r="AM67" s="24"/>
      <c r="AN67" s="17"/>
      <c r="AO67" s="24"/>
      <c r="AP67" s="17"/>
      <c r="AQ67" s="35">
        <f t="shared" si="15"/>
        <v>0</v>
      </c>
      <c r="AR67" s="40"/>
      <c r="AS67" s="17">
        <v>0</v>
      </c>
      <c r="AT67" s="17"/>
      <c r="AU67" s="17">
        <v>0</v>
      </c>
      <c r="AV67" s="17"/>
      <c r="AW67" s="35">
        <f t="shared" si="13"/>
        <v>0</v>
      </c>
      <c r="AX67" s="17"/>
      <c r="AY67" s="81" t="s">
        <v>58</v>
      </c>
      <c r="AZ67" s="17"/>
      <c r="BA67" s="24"/>
      <c r="BB67" s="17"/>
      <c r="BC67" s="24"/>
      <c r="BD67" s="17"/>
      <c r="BE67" s="24"/>
      <c r="BF67" s="17"/>
      <c r="BG67" s="24"/>
      <c r="BH67" s="17"/>
      <c r="BI67" s="17"/>
      <c r="BJ67" s="17"/>
      <c r="BK67" s="35">
        <f t="shared" si="14"/>
        <v>0</v>
      </c>
      <c r="BL67" s="79"/>
    </row>
    <row r="68" spans="1:64" ht="12.75">
      <c r="A68" s="77" t="s">
        <v>59</v>
      </c>
      <c r="B68" s="77"/>
      <c r="C68" s="35">
        <f t="shared" si="8"/>
        <v>43896035</v>
      </c>
      <c r="D68" s="35"/>
      <c r="E68" s="24">
        <v>48451434</v>
      </c>
      <c r="F68" s="35"/>
      <c r="G68" s="24">
        <v>92347469</v>
      </c>
      <c r="H68" s="35"/>
      <c r="I68" s="35">
        <f t="shared" si="9"/>
        <v>2416504</v>
      </c>
      <c r="J68" s="35"/>
      <c r="K68" s="24">
        <v>4960030</v>
      </c>
      <c r="L68" s="35"/>
      <c r="M68" s="24">
        <v>7376534</v>
      </c>
      <c r="N68" s="35"/>
      <c r="O68" s="24">
        <v>42576286</v>
      </c>
      <c r="P68" s="35"/>
      <c r="Q68" s="24">
        <f>12711601+429343</f>
        <v>13140944</v>
      </c>
      <c r="R68" s="35"/>
      <c r="S68" s="24">
        <v>29253705</v>
      </c>
      <c r="T68" s="35"/>
      <c r="U68" s="35">
        <f t="shared" si="10"/>
        <v>84970935</v>
      </c>
      <c r="V68" s="35"/>
      <c r="W68" s="35">
        <f t="shared" si="11"/>
        <v>0</v>
      </c>
      <c r="X68" s="35"/>
      <c r="Y68" s="81" t="s">
        <v>59</v>
      </c>
      <c r="Z68" s="35"/>
      <c r="AA68" s="24">
        <v>19903928</v>
      </c>
      <c r="AB68" s="17"/>
      <c r="AC68" s="24">
        <f>20544817-2676166</f>
        <v>17868651</v>
      </c>
      <c r="AD68" s="17"/>
      <c r="AE68" s="24">
        <v>2676166</v>
      </c>
      <c r="AF68" s="17"/>
      <c r="AG68" s="35">
        <f t="shared" si="12"/>
        <v>-640889</v>
      </c>
      <c r="AH68" s="40"/>
      <c r="AI68" s="24">
        <v>223958</v>
      </c>
      <c r="AJ68" s="40"/>
      <c r="AK68" s="24">
        <v>473595</v>
      </c>
      <c r="AL68" s="17"/>
      <c r="AM68" s="24">
        <v>0</v>
      </c>
      <c r="AN68" s="17"/>
      <c r="AO68" s="24">
        <v>250000</v>
      </c>
      <c r="AP68" s="17"/>
      <c r="AQ68" s="35">
        <f t="shared" si="15"/>
        <v>306664</v>
      </c>
      <c r="AR68" s="40"/>
      <c r="AS68" s="17">
        <v>0</v>
      </c>
      <c r="AT68" s="17"/>
      <c r="AU68" s="17">
        <v>0</v>
      </c>
      <c r="AV68" s="17"/>
      <c r="AW68" s="35">
        <f t="shared" si="13"/>
        <v>41479531</v>
      </c>
      <c r="AX68" s="17"/>
      <c r="AY68" s="81" t="s">
        <v>59</v>
      </c>
      <c r="AZ68" s="17"/>
      <c r="BA68" s="24">
        <v>0</v>
      </c>
      <c r="BB68" s="17"/>
      <c r="BC68" s="24">
        <v>4022341</v>
      </c>
      <c r="BD68" s="17"/>
      <c r="BE68" s="24">
        <v>0</v>
      </c>
      <c r="BF68" s="17"/>
      <c r="BG68" s="24">
        <f>222489+715200</f>
        <v>937689</v>
      </c>
      <c r="BH68" s="17"/>
      <c r="BI68" s="17"/>
      <c r="BJ68" s="17"/>
      <c r="BK68" s="35">
        <f t="shared" si="14"/>
        <v>4960030</v>
      </c>
      <c r="BL68" s="83"/>
    </row>
    <row r="69" spans="1:64" ht="12.75" hidden="1">
      <c r="A69" s="77" t="s">
        <v>60</v>
      </c>
      <c r="B69" s="77"/>
      <c r="C69" s="35">
        <f t="shared" si="8"/>
        <v>0</v>
      </c>
      <c r="D69" s="35"/>
      <c r="E69" s="24"/>
      <c r="F69" s="35"/>
      <c r="G69" s="24"/>
      <c r="H69" s="35"/>
      <c r="I69" s="35">
        <f t="shared" si="9"/>
        <v>0</v>
      </c>
      <c r="J69" s="35"/>
      <c r="K69" s="24"/>
      <c r="L69" s="35"/>
      <c r="M69" s="24"/>
      <c r="N69" s="35"/>
      <c r="O69" s="24"/>
      <c r="P69" s="35"/>
      <c r="Q69" s="24"/>
      <c r="R69" s="35"/>
      <c r="S69" s="24"/>
      <c r="T69" s="35"/>
      <c r="U69" s="35">
        <f t="shared" si="10"/>
        <v>0</v>
      </c>
      <c r="V69" s="35"/>
      <c r="W69" s="35">
        <f t="shared" si="11"/>
        <v>0</v>
      </c>
      <c r="X69" s="35"/>
      <c r="Y69" s="81" t="s">
        <v>60</v>
      </c>
      <c r="Z69" s="35"/>
      <c r="AA69" s="24"/>
      <c r="AB69" s="17"/>
      <c r="AC69" s="24"/>
      <c r="AD69" s="17"/>
      <c r="AE69" s="24"/>
      <c r="AF69" s="17"/>
      <c r="AG69" s="35">
        <f t="shared" si="12"/>
        <v>0</v>
      </c>
      <c r="AH69" s="40"/>
      <c r="AI69" s="24"/>
      <c r="AJ69" s="40"/>
      <c r="AK69" s="24"/>
      <c r="AL69" s="17"/>
      <c r="AM69" s="24"/>
      <c r="AN69" s="17"/>
      <c r="AO69" s="24"/>
      <c r="AP69" s="17"/>
      <c r="AQ69" s="35">
        <f t="shared" si="15"/>
        <v>0</v>
      </c>
      <c r="AR69" s="40"/>
      <c r="AS69" s="17">
        <v>0</v>
      </c>
      <c r="AT69" s="17"/>
      <c r="AU69" s="17">
        <v>0</v>
      </c>
      <c r="AV69" s="17"/>
      <c r="AW69" s="35">
        <f t="shared" si="13"/>
        <v>0</v>
      </c>
      <c r="AX69" s="35"/>
      <c r="AY69" s="81" t="s">
        <v>60</v>
      </c>
      <c r="AZ69" s="35"/>
      <c r="BA69" s="24"/>
      <c r="BB69" s="17"/>
      <c r="BC69" s="24"/>
      <c r="BD69" s="17"/>
      <c r="BE69" s="24"/>
      <c r="BF69" s="17"/>
      <c r="BG69" s="24"/>
      <c r="BH69" s="17"/>
      <c r="BI69" s="17"/>
      <c r="BJ69" s="17"/>
      <c r="BK69" s="35">
        <f t="shared" si="14"/>
        <v>0</v>
      </c>
      <c r="BL69" s="79"/>
    </row>
    <row r="70" spans="1:64" ht="12.75" hidden="1">
      <c r="A70" s="77" t="s">
        <v>97</v>
      </c>
      <c r="B70" s="77"/>
      <c r="C70" s="35">
        <f t="shared" si="8"/>
        <v>0</v>
      </c>
      <c r="D70" s="35"/>
      <c r="E70" s="24"/>
      <c r="F70" s="35"/>
      <c r="G70" s="24"/>
      <c r="H70" s="35"/>
      <c r="I70" s="35">
        <f t="shared" si="9"/>
        <v>0</v>
      </c>
      <c r="J70" s="35"/>
      <c r="K70" s="24"/>
      <c r="L70" s="35"/>
      <c r="M70" s="24"/>
      <c r="N70" s="35"/>
      <c r="O70" s="24"/>
      <c r="P70" s="35"/>
      <c r="Q70" s="24"/>
      <c r="R70" s="35"/>
      <c r="S70" s="24"/>
      <c r="T70" s="35"/>
      <c r="U70" s="35">
        <f t="shared" si="10"/>
        <v>0</v>
      </c>
      <c r="V70" s="35"/>
      <c r="W70" s="35">
        <f t="shared" si="11"/>
        <v>0</v>
      </c>
      <c r="X70" s="35"/>
      <c r="Y70" s="81" t="s">
        <v>97</v>
      </c>
      <c r="Z70" s="35"/>
      <c r="AA70" s="24"/>
      <c r="AB70" s="17"/>
      <c r="AC70" s="24"/>
      <c r="AD70" s="17"/>
      <c r="AE70" s="24"/>
      <c r="AF70" s="17"/>
      <c r="AG70" s="35">
        <f t="shared" si="12"/>
        <v>0</v>
      </c>
      <c r="AH70" s="40"/>
      <c r="AI70" s="24"/>
      <c r="AJ70" s="40"/>
      <c r="AK70" s="24"/>
      <c r="AL70" s="17"/>
      <c r="AM70" s="24"/>
      <c r="AN70" s="17"/>
      <c r="AO70" s="24"/>
      <c r="AP70" s="17"/>
      <c r="AQ70" s="35">
        <f t="shared" si="15"/>
        <v>0</v>
      </c>
      <c r="AR70" s="40"/>
      <c r="AS70" s="17">
        <v>0</v>
      </c>
      <c r="AT70" s="17"/>
      <c r="AU70" s="17">
        <v>0</v>
      </c>
      <c r="AV70" s="17"/>
      <c r="AW70" s="35">
        <f t="shared" si="13"/>
        <v>0</v>
      </c>
      <c r="AX70" s="17"/>
      <c r="AY70" s="81" t="s">
        <v>97</v>
      </c>
      <c r="AZ70" s="17"/>
      <c r="BA70" s="24"/>
      <c r="BB70" s="17"/>
      <c r="BC70" s="24"/>
      <c r="BD70" s="17"/>
      <c r="BE70" s="24"/>
      <c r="BF70" s="17"/>
      <c r="BG70" s="24"/>
      <c r="BH70" s="17"/>
      <c r="BI70" s="17"/>
      <c r="BJ70" s="17"/>
      <c r="BK70" s="35">
        <f t="shared" si="14"/>
        <v>0</v>
      </c>
      <c r="BL70" s="17"/>
    </row>
    <row r="71" spans="1:64" ht="12.75">
      <c r="A71" s="77" t="s">
        <v>61</v>
      </c>
      <c r="B71" s="77"/>
      <c r="C71" s="35">
        <f t="shared" si="8"/>
        <v>9613631</v>
      </c>
      <c r="D71" s="35"/>
      <c r="E71" s="24">
        <v>49940266</v>
      </c>
      <c r="F71" s="35"/>
      <c r="G71" s="24">
        <v>59553897</v>
      </c>
      <c r="H71" s="35"/>
      <c r="I71" s="35">
        <f t="shared" si="9"/>
        <v>2008488</v>
      </c>
      <c r="J71" s="35"/>
      <c r="K71" s="24">
        <v>23645173</v>
      </c>
      <c r="L71" s="35"/>
      <c r="M71" s="24">
        <v>25653661</v>
      </c>
      <c r="N71" s="35"/>
      <c r="O71" s="24">
        <v>24686155</v>
      </c>
      <c r="P71" s="35"/>
      <c r="Q71" s="24">
        <v>95010</v>
      </c>
      <c r="R71" s="35"/>
      <c r="S71" s="24">
        <v>9119071</v>
      </c>
      <c r="T71" s="35"/>
      <c r="U71" s="35">
        <f t="shared" si="10"/>
        <v>33900236</v>
      </c>
      <c r="V71" s="35"/>
      <c r="W71" s="35">
        <f t="shared" si="11"/>
        <v>0</v>
      </c>
      <c r="X71" s="35"/>
      <c r="Y71" s="81" t="s">
        <v>61</v>
      </c>
      <c r="Z71" s="35"/>
      <c r="AA71" s="24">
        <v>4045853</v>
      </c>
      <c r="AB71" s="17"/>
      <c r="AC71" s="24">
        <f>4078902-1243389</f>
        <v>2835513</v>
      </c>
      <c r="AD71" s="17"/>
      <c r="AE71" s="24">
        <v>1243389</v>
      </c>
      <c r="AF71" s="17"/>
      <c r="AG71" s="35">
        <f t="shared" si="12"/>
        <v>-33049</v>
      </c>
      <c r="AH71" s="40"/>
      <c r="AI71" s="24">
        <v>-1076484</v>
      </c>
      <c r="AJ71" s="40"/>
      <c r="AK71" s="24">
        <v>15602</v>
      </c>
      <c r="AL71" s="17"/>
      <c r="AM71" s="24">
        <v>42439</v>
      </c>
      <c r="AN71" s="17"/>
      <c r="AO71" s="24">
        <f>43286+1326706</f>
        <v>1369992</v>
      </c>
      <c r="AP71" s="17"/>
      <c r="AQ71" s="35">
        <f t="shared" si="15"/>
        <v>233622</v>
      </c>
      <c r="AR71" s="40"/>
      <c r="AS71" s="17">
        <v>0</v>
      </c>
      <c r="AT71" s="17"/>
      <c r="AU71" s="17">
        <v>0</v>
      </c>
      <c r="AV71" s="17"/>
      <c r="AW71" s="35">
        <f t="shared" si="13"/>
        <v>7605143</v>
      </c>
      <c r="AX71" s="17"/>
      <c r="AY71" s="81" t="s">
        <v>61</v>
      </c>
      <c r="AZ71" s="17"/>
      <c r="BA71" s="24">
        <v>11135831</v>
      </c>
      <c r="BB71" s="17"/>
      <c r="BC71" s="24">
        <v>5261900</v>
      </c>
      <c r="BD71" s="17"/>
      <c r="BE71" s="24">
        <v>7234009</v>
      </c>
      <c r="BF71" s="17"/>
      <c r="BG71" s="24">
        <v>13433</v>
      </c>
      <c r="BH71" s="17"/>
      <c r="BI71" s="17"/>
      <c r="BJ71" s="17"/>
      <c r="BK71" s="35">
        <f t="shared" si="14"/>
        <v>23645173</v>
      </c>
      <c r="BL71" s="79"/>
    </row>
    <row r="72" spans="1:64" ht="12.75">
      <c r="A72" s="185" t="s">
        <v>62</v>
      </c>
      <c r="B72" s="77"/>
      <c r="C72" s="35">
        <f t="shared" si="8"/>
        <v>281989</v>
      </c>
      <c r="D72" s="35"/>
      <c r="E72" s="24">
        <v>4673982</v>
      </c>
      <c r="F72" s="35"/>
      <c r="G72" s="24">
        <v>4955971</v>
      </c>
      <c r="H72" s="35"/>
      <c r="I72" s="35">
        <f t="shared" si="9"/>
        <v>60817</v>
      </c>
      <c r="J72" s="35"/>
      <c r="K72" s="24">
        <v>238225</v>
      </c>
      <c r="L72" s="35"/>
      <c r="M72" s="24">
        <v>299042</v>
      </c>
      <c r="N72" s="35"/>
      <c r="O72" s="24">
        <v>4435757</v>
      </c>
      <c r="P72" s="35"/>
      <c r="Q72" s="24">
        <v>0</v>
      </c>
      <c r="R72" s="35"/>
      <c r="S72" s="24">
        <v>221172</v>
      </c>
      <c r="T72" s="35"/>
      <c r="U72" s="35">
        <f t="shared" si="10"/>
        <v>4656929</v>
      </c>
      <c r="V72" s="35"/>
      <c r="W72" s="35"/>
      <c r="X72" s="35"/>
      <c r="Y72" s="158" t="s">
        <v>62</v>
      </c>
      <c r="Z72" s="35"/>
      <c r="AA72" s="24">
        <v>39646</v>
      </c>
      <c r="AB72" s="17"/>
      <c r="AC72" s="24">
        <v>803126</v>
      </c>
      <c r="AD72" s="17"/>
      <c r="AE72" s="24">
        <v>0</v>
      </c>
      <c r="AF72" s="17"/>
      <c r="AG72" s="35">
        <f t="shared" si="12"/>
        <v>-763480</v>
      </c>
      <c r="AH72" s="40"/>
      <c r="AI72" s="24">
        <v>-262639</v>
      </c>
      <c r="AJ72" s="40"/>
      <c r="AK72" s="24">
        <v>0</v>
      </c>
      <c r="AL72" s="17"/>
      <c r="AM72" s="24">
        <v>0</v>
      </c>
      <c r="AN72" s="17"/>
      <c r="AO72" s="24">
        <v>158317</v>
      </c>
      <c r="AP72" s="17"/>
      <c r="AQ72" s="35">
        <f t="shared" si="15"/>
        <v>-867802</v>
      </c>
      <c r="AR72" s="40"/>
      <c r="AS72" s="17"/>
      <c r="AT72" s="17"/>
      <c r="AU72" s="17"/>
      <c r="AV72" s="17"/>
      <c r="AW72" s="35">
        <f t="shared" si="13"/>
        <v>221172</v>
      </c>
      <c r="AX72" s="17"/>
      <c r="AY72" s="158" t="s">
        <v>62</v>
      </c>
      <c r="AZ72" s="17"/>
      <c r="BA72" s="24">
        <v>0</v>
      </c>
      <c r="BB72" s="17"/>
      <c r="BC72" s="24">
        <v>0</v>
      </c>
      <c r="BD72" s="17"/>
      <c r="BE72" s="24">
        <v>238225</v>
      </c>
      <c r="BF72" s="17"/>
      <c r="BG72" s="24">
        <v>0</v>
      </c>
      <c r="BH72" s="17"/>
      <c r="BI72" s="17"/>
      <c r="BJ72" s="17"/>
      <c r="BK72" s="35">
        <f t="shared" si="14"/>
        <v>238225</v>
      </c>
      <c r="BL72" s="79"/>
    </row>
    <row r="73" spans="1:64" ht="12.75" hidden="1">
      <c r="A73" s="77" t="s">
        <v>63</v>
      </c>
      <c r="B73" s="77"/>
      <c r="C73" s="35">
        <f t="shared" si="8"/>
        <v>0</v>
      </c>
      <c r="D73" s="35"/>
      <c r="E73" s="24"/>
      <c r="F73" s="35"/>
      <c r="G73" s="24"/>
      <c r="H73" s="35"/>
      <c r="I73" s="35">
        <f t="shared" si="9"/>
        <v>0</v>
      </c>
      <c r="J73" s="35"/>
      <c r="K73" s="24"/>
      <c r="L73" s="35"/>
      <c r="M73" s="24"/>
      <c r="N73" s="35"/>
      <c r="O73" s="24"/>
      <c r="P73" s="35"/>
      <c r="Q73" s="24"/>
      <c r="R73" s="35"/>
      <c r="S73" s="24"/>
      <c r="T73" s="35"/>
      <c r="U73" s="35">
        <f t="shared" si="10"/>
        <v>0</v>
      </c>
      <c r="V73" s="35"/>
      <c r="W73" s="35">
        <f t="shared" si="11"/>
        <v>0</v>
      </c>
      <c r="X73" s="35"/>
      <c r="Y73" s="81" t="s">
        <v>63</v>
      </c>
      <c r="Z73" s="35"/>
      <c r="AA73" s="24"/>
      <c r="AB73" s="17"/>
      <c r="AC73" s="24"/>
      <c r="AD73" s="17"/>
      <c r="AE73" s="24"/>
      <c r="AF73" s="17"/>
      <c r="AG73" s="35">
        <f t="shared" si="12"/>
        <v>0</v>
      </c>
      <c r="AH73" s="40"/>
      <c r="AI73" s="24"/>
      <c r="AJ73" s="40"/>
      <c r="AK73" s="24"/>
      <c r="AL73" s="17"/>
      <c r="AM73" s="24"/>
      <c r="AN73" s="17"/>
      <c r="AO73" s="24"/>
      <c r="AP73" s="17"/>
      <c r="AQ73" s="35">
        <f t="shared" si="15"/>
        <v>0</v>
      </c>
      <c r="AR73" s="40"/>
      <c r="AS73" s="17">
        <v>0</v>
      </c>
      <c r="AT73" s="17"/>
      <c r="AU73" s="17">
        <v>0</v>
      </c>
      <c r="AV73" s="17"/>
      <c r="AW73" s="35">
        <f t="shared" si="13"/>
        <v>0</v>
      </c>
      <c r="AX73" s="17"/>
      <c r="AY73" s="81" t="s">
        <v>63</v>
      </c>
      <c r="AZ73" s="17"/>
      <c r="BA73" s="24"/>
      <c r="BB73" s="17"/>
      <c r="BC73" s="24"/>
      <c r="BD73" s="17"/>
      <c r="BE73" s="24"/>
      <c r="BF73" s="17"/>
      <c r="BG73" s="24"/>
      <c r="BH73" s="17"/>
      <c r="BI73" s="17"/>
      <c r="BJ73" s="17"/>
      <c r="BK73" s="35">
        <f t="shared" si="14"/>
        <v>0</v>
      </c>
      <c r="BL73" s="79"/>
    </row>
    <row r="74" spans="1:64" ht="12.75" hidden="1">
      <c r="A74" s="77" t="s">
        <v>131</v>
      </c>
      <c r="B74" s="77"/>
      <c r="C74" s="35">
        <f t="shared" si="8"/>
        <v>0</v>
      </c>
      <c r="D74" s="35"/>
      <c r="E74" s="24"/>
      <c r="F74" s="35"/>
      <c r="G74" s="24"/>
      <c r="H74" s="35"/>
      <c r="I74" s="35">
        <f t="shared" si="9"/>
        <v>0</v>
      </c>
      <c r="J74" s="35"/>
      <c r="K74" s="24"/>
      <c r="L74" s="35"/>
      <c r="M74" s="24"/>
      <c r="N74" s="35"/>
      <c r="O74" s="24"/>
      <c r="P74" s="35"/>
      <c r="Q74" s="24"/>
      <c r="R74" s="35"/>
      <c r="S74" s="24"/>
      <c r="T74" s="35"/>
      <c r="U74" s="35">
        <f t="shared" si="10"/>
        <v>0</v>
      </c>
      <c r="V74" s="35"/>
      <c r="W74" s="35">
        <f t="shared" si="11"/>
        <v>0</v>
      </c>
      <c r="X74" s="35"/>
      <c r="Y74" s="81" t="s">
        <v>131</v>
      </c>
      <c r="Z74" s="35"/>
      <c r="AA74" s="24"/>
      <c r="AB74" s="17"/>
      <c r="AC74" s="24"/>
      <c r="AD74" s="17"/>
      <c r="AE74" s="24"/>
      <c r="AF74" s="17"/>
      <c r="AG74" s="35">
        <f t="shared" si="12"/>
        <v>0</v>
      </c>
      <c r="AH74" s="40"/>
      <c r="AI74" s="24"/>
      <c r="AJ74" s="40"/>
      <c r="AK74" s="24"/>
      <c r="AL74" s="17"/>
      <c r="AM74" s="24"/>
      <c r="AN74" s="17"/>
      <c r="AO74" s="24"/>
      <c r="AP74" s="17"/>
      <c r="AQ74" s="35">
        <f t="shared" si="15"/>
        <v>0</v>
      </c>
      <c r="AR74" s="40"/>
      <c r="AS74" s="17">
        <v>0</v>
      </c>
      <c r="AT74" s="17"/>
      <c r="AU74" s="17">
        <v>0</v>
      </c>
      <c r="AV74" s="17"/>
      <c r="AW74" s="35">
        <f t="shared" si="13"/>
        <v>0</v>
      </c>
      <c r="AX74" s="35"/>
      <c r="AY74" s="81" t="s">
        <v>131</v>
      </c>
      <c r="AZ74" s="35"/>
      <c r="BA74" s="24"/>
      <c r="BB74" s="17"/>
      <c r="BC74" s="24"/>
      <c r="BD74" s="17"/>
      <c r="BE74" s="24"/>
      <c r="BF74" s="17"/>
      <c r="BG74" s="24"/>
      <c r="BH74" s="17"/>
      <c r="BI74" s="17"/>
      <c r="BJ74" s="17"/>
      <c r="BK74" s="35">
        <f t="shared" si="14"/>
        <v>0</v>
      </c>
      <c r="BL74" s="79"/>
    </row>
    <row r="75" spans="1:64" ht="12.75" hidden="1">
      <c r="A75" s="77" t="s">
        <v>64</v>
      </c>
      <c r="B75" s="77"/>
      <c r="C75" s="35">
        <f t="shared" si="8"/>
        <v>0</v>
      </c>
      <c r="D75" s="35"/>
      <c r="E75" s="24"/>
      <c r="F75" s="35"/>
      <c r="G75" s="24"/>
      <c r="H75" s="35"/>
      <c r="I75" s="35">
        <f t="shared" si="9"/>
        <v>0</v>
      </c>
      <c r="J75" s="35"/>
      <c r="K75" s="24"/>
      <c r="L75" s="35"/>
      <c r="M75" s="24"/>
      <c r="N75" s="35"/>
      <c r="O75" s="24"/>
      <c r="P75" s="35"/>
      <c r="Q75" s="24"/>
      <c r="R75" s="35"/>
      <c r="S75" s="24"/>
      <c r="T75" s="35"/>
      <c r="U75" s="35">
        <f t="shared" si="10"/>
        <v>0</v>
      </c>
      <c r="V75" s="35"/>
      <c r="W75" s="35">
        <f t="shared" si="11"/>
        <v>0</v>
      </c>
      <c r="X75" s="35"/>
      <c r="Y75" s="81" t="s">
        <v>64</v>
      </c>
      <c r="Z75" s="35"/>
      <c r="AA75" s="24"/>
      <c r="AB75" s="17"/>
      <c r="AC75" s="24"/>
      <c r="AD75" s="17"/>
      <c r="AE75" s="24"/>
      <c r="AF75" s="17"/>
      <c r="AG75" s="35">
        <f t="shared" si="12"/>
        <v>0</v>
      </c>
      <c r="AH75" s="40"/>
      <c r="AI75" s="24"/>
      <c r="AJ75" s="40"/>
      <c r="AK75" s="24"/>
      <c r="AL75" s="17"/>
      <c r="AM75" s="24"/>
      <c r="AN75" s="17"/>
      <c r="AO75" s="24"/>
      <c r="AP75" s="17"/>
      <c r="AQ75" s="35">
        <f t="shared" si="15"/>
        <v>0</v>
      </c>
      <c r="AR75" s="40"/>
      <c r="AS75" s="17">
        <v>0</v>
      </c>
      <c r="AT75" s="17"/>
      <c r="AU75" s="17">
        <v>0</v>
      </c>
      <c r="AV75" s="17"/>
      <c r="AW75" s="35">
        <f t="shared" si="13"/>
        <v>0</v>
      </c>
      <c r="AX75" s="35"/>
      <c r="AY75" s="81" t="s">
        <v>64</v>
      </c>
      <c r="AZ75" s="35"/>
      <c r="BA75" s="24"/>
      <c r="BB75" s="17"/>
      <c r="BC75" s="24"/>
      <c r="BD75" s="17"/>
      <c r="BE75" s="24"/>
      <c r="BF75" s="17"/>
      <c r="BG75" s="24"/>
      <c r="BH75" s="17"/>
      <c r="BI75" s="17"/>
      <c r="BJ75" s="17"/>
      <c r="BK75" s="35">
        <f t="shared" si="14"/>
        <v>0</v>
      </c>
      <c r="BL75" s="79"/>
    </row>
    <row r="76" spans="1:64" ht="12.75">
      <c r="A76" s="77" t="s">
        <v>65</v>
      </c>
      <c r="B76" s="77"/>
      <c r="C76" s="35">
        <f t="shared" si="8"/>
        <v>248669</v>
      </c>
      <c r="D76" s="35"/>
      <c r="E76" s="24">
        <v>2672644</v>
      </c>
      <c r="F76" s="35"/>
      <c r="G76" s="24">
        <v>2921313</v>
      </c>
      <c r="H76" s="35"/>
      <c r="I76" s="35">
        <f t="shared" si="9"/>
        <v>137318</v>
      </c>
      <c r="J76" s="35"/>
      <c r="K76" s="24">
        <v>2074222</v>
      </c>
      <c r="L76" s="35"/>
      <c r="M76" s="24">
        <v>2211540</v>
      </c>
      <c r="N76" s="35"/>
      <c r="O76" s="24">
        <v>472836</v>
      </c>
      <c r="P76" s="35"/>
      <c r="Q76" s="24">
        <v>0</v>
      </c>
      <c r="R76" s="35"/>
      <c r="S76" s="24">
        <v>236937</v>
      </c>
      <c r="T76" s="35"/>
      <c r="U76" s="35">
        <f t="shared" si="10"/>
        <v>709773</v>
      </c>
      <c r="V76" s="35"/>
      <c r="W76" s="35">
        <f t="shared" si="11"/>
        <v>0</v>
      </c>
      <c r="X76" s="35"/>
      <c r="Y76" s="81" t="s">
        <v>65</v>
      </c>
      <c r="Z76" s="35"/>
      <c r="AA76" s="24">
        <v>349612</v>
      </c>
      <c r="AB76" s="17"/>
      <c r="AC76" s="24">
        <f>275530-38420</f>
        <v>237110</v>
      </c>
      <c r="AD76" s="17"/>
      <c r="AE76" s="24">
        <v>38420</v>
      </c>
      <c r="AF76" s="17"/>
      <c r="AG76" s="35">
        <f t="shared" si="12"/>
        <v>74082</v>
      </c>
      <c r="AH76" s="40"/>
      <c r="AI76" s="24">
        <v>0</v>
      </c>
      <c r="AJ76" s="40"/>
      <c r="AK76" s="24">
        <v>0</v>
      </c>
      <c r="AL76" s="17"/>
      <c r="AM76" s="24">
        <v>0</v>
      </c>
      <c r="AN76" s="17"/>
      <c r="AO76" s="24">
        <v>0</v>
      </c>
      <c r="AP76" s="17"/>
      <c r="AQ76" s="35">
        <f t="shared" si="15"/>
        <v>74082</v>
      </c>
      <c r="AR76" s="40"/>
      <c r="AS76" s="17">
        <v>0</v>
      </c>
      <c r="AT76" s="17"/>
      <c r="AU76" s="17">
        <v>0</v>
      </c>
      <c r="AV76" s="17"/>
      <c r="AW76" s="35">
        <f t="shared" si="13"/>
        <v>111351</v>
      </c>
      <c r="AX76" s="17"/>
      <c r="AY76" s="81" t="s">
        <v>65</v>
      </c>
      <c r="AZ76" s="17"/>
      <c r="BA76" s="24">
        <v>0</v>
      </c>
      <c r="BB76" s="17"/>
      <c r="BC76" s="24">
        <v>0</v>
      </c>
      <c r="BD76" s="17"/>
      <c r="BE76" s="24">
        <v>2074222</v>
      </c>
      <c r="BF76" s="17"/>
      <c r="BG76" s="24">
        <v>0</v>
      </c>
      <c r="BH76" s="17"/>
      <c r="BI76" s="17"/>
      <c r="BJ76" s="17"/>
      <c r="BK76" s="35">
        <f t="shared" si="14"/>
        <v>2074222</v>
      </c>
      <c r="BL76" s="79"/>
    </row>
    <row r="77" spans="1:64" ht="12.75">
      <c r="A77" s="77" t="s">
        <v>66</v>
      </c>
      <c r="B77" s="77"/>
      <c r="C77" s="35">
        <f t="shared" si="8"/>
        <v>498195</v>
      </c>
      <c r="D77" s="35"/>
      <c r="E77" s="24">
        <v>1468091</v>
      </c>
      <c r="F77" s="35"/>
      <c r="G77" s="24">
        <v>1966286</v>
      </c>
      <c r="H77" s="35"/>
      <c r="I77" s="35">
        <f t="shared" si="9"/>
        <v>34111</v>
      </c>
      <c r="J77" s="35"/>
      <c r="K77" s="24">
        <v>28948</v>
      </c>
      <c r="L77" s="35"/>
      <c r="M77" s="24">
        <v>63059</v>
      </c>
      <c r="N77" s="35"/>
      <c r="O77" s="24">
        <v>1468091</v>
      </c>
      <c r="P77" s="35"/>
      <c r="Q77" s="24">
        <v>0</v>
      </c>
      <c r="R77" s="35"/>
      <c r="S77" s="24">
        <v>435136</v>
      </c>
      <c r="T77" s="35"/>
      <c r="U77" s="35">
        <f t="shared" si="10"/>
        <v>1903227</v>
      </c>
      <c r="V77" s="35"/>
      <c r="W77" s="35">
        <f t="shared" si="11"/>
        <v>0</v>
      </c>
      <c r="X77" s="35"/>
      <c r="Y77" s="81" t="s">
        <v>66</v>
      </c>
      <c r="Z77" s="35"/>
      <c r="AA77" s="24">
        <v>465952</v>
      </c>
      <c r="AB77" s="17"/>
      <c r="AC77" s="24">
        <f>550063-67234</f>
        <v>482829</v>
      </c>
      <c r="AD77" s="17"/>
      <c r="AE77" s="24">
        <v>67234</v>
      </c>
      <c r="AF77" s="17"/>
      <c r="AG77" s="35">
        <f t="shared" si="12"/>
        <v>-84111</v>
      </c>
      <c r="AH77" s="40"/>
      <c r="AI77" s="24">
        <v>2478</v>
      </c>
      <c r="AJ77" s="40"/>
      <c r="AK77" s="24">
        <v>5615</v>
      </c>
      <c r="AL77" s="17"/>
      <c r="AM77" s="24">
        <v>0</v>
      </c>
      <c r="AN77" s="17"/>
      <c r="AO77" s="24">
        <v>0</v>
      </c>
      <c r="AP77" s="17"/>
      <c r="AQ77" s="35">
        <f t="shared" si="15"/>
        <v>-76018</v>
      </c>
      <c r="AR77" s="40"/>
      <c r="AS77" s="17">
        <v>0</v>
      </c>
      <c r="AT77" s="17"/>
      <c r="AU77" s="17">
        <v>0</v>
      </c>
      <c r="AV77" s="17"/>
      <c r="AW77" s="35">
        <f t="shared" si="13"/>
        <v>464084</v>
      </c>
      <c r="AX77" s="17"/>
      <c r="AY77" s="81" t="s">
        <v>66</v>
      </c>
      <c r="AZ77" s="17"/>
      <c r="BA77" s="24">
        <v>0</v>
      </c>
      <c r="BB77" s="17"/>
      <c r="BC77" s="24">
        <v>0</v>
      </c>
      <c r="BD77" s="17"/>
      <c r="BE77" s="24">
        <v>0</v>
      </c>
      <c r="BF77" s="17"/>
      <c r="BG77" s="24">
        <v>28948</v>
      </c>
      <c r="BH77" s="17"/>
      <c r="BI77" s="17"/>
      <c r="BJ77" s="17"/>
      <c r="BK77" s="35">
        <f t="shared" si="14"/>
        <v>28948</v>
      </c>
      <c r="BL77" s="79"/>
    </row>
    <row r="78" spans="1:64" ht="12.75">
      <c r="A78" s="77" t="s">
        <v>67</v>
      </c>
      <c r="B78" s="77"/>
      <c r="C78" s="35">
        <f>+G78-E78</f>
        <v>7210820</v>
      </c>
      <c r="D78" s="35"/>
      <c r="E78" s="24">
        <v>60634162</v>
      </c>
      <c r="F78" s="35"/>
      <c r="G78" s="24">
        <v>67844982</v>
      </c>
      <c r="H78" s="35"/>
      <c r="I78" s="35">
        <f>M78-K78</f>
        <v>2136167</v>
      </c>
      <c r="J78" s="35"/>
      <c r="K78" s="24">
        <v>17290011</v>
      </c>
      <c r="L78" s="35"/>
      <c r="M78" s="24">
        <v>19426178</v>
      </c>
      <c r="N78" s="35"/>
      <c r="O78" s="24">
        <v>42192271</v>
      </c>
      <c r="P78" s="35"/>
      <c r="Q78" s="24">
        <v>34077</v>
      </c>
      <c r="R78" s="35"/>
      <c r="S78" s="24">
        <v>6192456</v>
      </c>
      <c r="T78" s="35"/>
      <c r="U78" s="35">
        <f>SUM(O78:S78)</f>
        <v>48418804</v>
      </c>
      <c r="V78" s="35"/>
      <c r="W78" s="35">
        <f t="shared" si="11"/>
        <v>0</v>
      </c>
      <c r="X78" s="35"/>
      <c r="Y78" s="81" t="s">
        <v>67</v>
      </c>
      <c r="Z78" s="35"/>
      <c r="AA78" s="24">
        <v>6212369</v>
      </c>
      <c r="AB78" s="17"/>
      <c r="AC78" s="24">
        <f>5042685-1392145</f>
        <v>3650540</v>
      </c>
      <c r="AD78" s="17"/>
      <c r="AE78" s="24">
        <v>1392145</v>
      </c>
      <c r="AF78" s="17"/>
      <c r="AG78" s="35">
        <f t="shared" si="12"/>
        <v>1169684</v>
      </c>
      <c r="AH78" s="40"/>
      <c r="AI78" s="24">
        <v>125625</v>
      </c>
      <c r="AJ78" s="40"/>
      <c r="AK78" s="24">
        <v>0</v>
      </c>
      <c r="AL78" s="17"/>
      <c r="AM78" s="24">
        <v>0</v>
      </c>
      <c r="AN78" s="17"/>
      <c r="AO78" s="24">
        <v>0</v>
      </c>
      <c r="AP78" s="17"/>
      <c r="AQ78" s="35">
        <f t="shared" si="15"/>
        <v>1295309</v>
      </c>
      <c r="AR78" s="40"/>
      <c r="AS78" s="17">
        <v>0</v>
      </c>
      <c r="AT78" s="17"/>
      <c r="AU78" s="17">
        <v>0</v>
      </c>
      <c r="AV78" s="17"/>
      <c r="AW78" s="35">
        <f t="shared" si="13"/>
        <v>5074653</v>
      </c>
      <c r="AX78" s="17"/>
      <c r="AY78" s="81" t="s">
        <v>67</v>
      </c>
      <c r="AZ78" s="17"/>
      <c r="BA78" s="24">
        <v>0</v>
      </c>
      <c r="BB78" s="17"/>
      <c r="BC78" s="24">
        <v>9868185</v>
      </c>
      <c r="BD78" s="17"/>
      <c r="BE78" s="24">
        <f>690487+410411+6279896</f>
        <v>7380794</v>
      </c>
      <c r="BF78" s="17"/>
      <c r="BG78" s="24">
        <v>41032</v>
      </c>
      <c r="BH78" s="17"/>
      <c r="BI78" s="17"/>
      <c r="BJ78" s="17"/>
      <c r="BK78" s="35">
        <f t="shared" si="14"/>
        <v>17290011</v>
      </c>
      <c r="BL78" s="79"/>
    </row>
    <row r="79" spans="1:64" ht="12.75">
      <c r="A79" s="77" t="s">
        <v>68</v>
      </c>
      <c r="B79" s="77"/>
      <c r="C79" s="35">
        <f aca="true" t="shared" si="16" ref="C79:C98">+G79-E79</f>
        <v>292938</v>
      </c>
      <c r="D79" s="35"/>
      <c r="E79" s="24">
        <v>1299003</v>
      </c>
      <c r="F79" s="35"/>
      <c r="G79" s="24">
        <v>1591941</v>
      </c>
      <c r="H79" s="35"/>
      <c r="I79" s="35">
        <f aca="true" t="shared" si="17" ref="I79:I98">M79-K79</f>
        <v>55158</v>
      </c>
      <c r="J79" s="35"/>
      <c r="K79" s="24">
        <v>645833</v>
      </c>
      <c r="L79" s="35"/>
      <c r="M79" s="24">
        <v>700991</v>
      </c>
      <c r="N79" s="35"/>
      <c r="O79" s="24">
        <v>601314</v>
      </c>
      <c r="P79" s="35"/>
      <c r="Q79" s="24">
        <v>0</v>
      </c>
      <c r="R79" s="35"/>
      <c r="S79" s="24">
        <v>289636</v>
      </c>
      <c r="T79" s="35"/>
      <c r="U79" s="35">
        <f aca="true" t="shared" si="18" ref="U79:U98">SUM(O79:S79)</f>
        <v>890950</v>
      </c>
      <c r="V79" s="35"/>
      <c r="W79" s="35">
        <f t="shared" si="11"/>
        <v>0</v>
      </c>
      <c r="X79" s="35"/>
      <c r="Y79" s="81" t="s">
        <v>68</v>
      </c>
      <c r="Z79" s="35"/>
      <c r="AA79" s="24">
        <v>136445</v>
      </c>
      <c r="AB79" s="17"/>
      <c r="AC79" s="24">
        <f>95883-15964</f>
        <v>79919</v>
      </c>
      <c r="AD79" s="17"/>
      <c r="AE79" s="24">
        <v>15964</v>
      </c>
      <c r="AF79" s="17"/>
      <c r="AG79" s="35">
        <f t="shared" si="12"/>
        <v>40562</v>
      </c>
      <c r="AH79" s="40"/>
      <c r="AI79" s="24">
        <v>0</v>
      </c>
      <c r="AJ79" s="40"/>
      <c r="AK79" s="24">
        <v>0</v>
      </c>
      <c r="AL79" s="17"/>
      <c r="AM79" s="24">
        <v>0</v>
      </c>
      <c r="AN79" s="17"/>
      <c r="AO79" s="24">
        <v>0</v>
      </c>
      <c r="AP79" s="17"/>
      <c r="AQ79" s="35">
        <f t="shared" si="15"/>
        <v>40562</v>
      </c>
      <c r="AR79" s="40"/>
      <c r="AS79" s="17">
        <v>0</v>
      </c>
      <c r="AT79" s="17"/>
      <c r="AU79" s="17">
        <v>0</v>
      </c>
      <c r="AV79" s="17"/>
      <c r="AW79" s="35">
        <f t="shared" si="13"/>
        <v>237780</v>
      </c>
      <c r="AX79" s="17"/>
      <c r="AY79" s="81" t="s">
        <v>68</v>
      </c>
      <c r="AZ79" s="17"/>
      <c r="BA79" s="24">
        <v>0</v>
      </c>
      <c r="BB79" s="17"/>
      <c r="BC79" s="24">
        <v>0</v>
      </c>
      <c r="BD79" s="17"/>
      <c r="BE79" s="24">
        <f>119364+526469</f>
        <v>645833</v>
      </c>
      <c r="BF79" s="17"/>
      <c r="BG79" s="24">
        <v>0</v>
      </c>
      <c r="BH79" s="17"/>
      <c r="BI79" s="17"/>
      <c r="BJ79" s="17"/>
      <c r="BK79" s="35">
        <f t="shared" si="14"/>
        <v>645833</v>
      </c>
      <c r="BL79" s="79"/>
    </row>
    <row r="80" spans="1:64" ht="12.75" hidden="1">
      <c r="A80" s="77" t="s">
        <v>175</v>
      </c>
      <c r="B80" s="77"/>
      <c r="C80" s="35">
        <f t="shared" si="16"/>
        <v>0</v>
      </c>
      <c r="D80" s="35"/>
      <c r="E80" s="24"/>
      <c r="F80" s="35"/>
      <c r="G80" s="24"/>
      <c r="H80" s="35"/>
      <c r="I80" s="35">
        <f t="shared" si="17"/>
        <v>0</v>
      </c>
      <c r="J80" s="35"/>
      <c r="K80" s="24"/>
      <c r="L80" s="35"/>
      <c r="M80" s="24"/>
      <c r="N80" s="35"/>
      <c r="O80" s="24"/>
      <c r="P80" s="35"/>
      <c r="Q80" s="24"/>
      <c r="R80" s="35"/>
      <c r="S80" s="24"/>
      <c r="T80" s="35"/>
      <c r="U80" s="35">
        <f t="shared" si="18"/>
        <v>0</v>
      </c>
      <c r="V80" s="35"/>
      <c r="W80" s="35">
        <f t="shared" si="11"/>
        <v>0</v>
      </c>
      <c r="X80" s="35"/>
      <c r="Y80" s="81" t="s">
        <v>175</v>
      </c>
      <c r="Z80" s="35"/>
      <c r="AA80" s="24"/>
      <c r="AB80" s="17"/>
      <c r="AC80" s="24"/>
      <c r="AD80" s="17"/>
      <c r="AE80" s="24"/>
      <c r="AF80" s="17"/>
      <c r="AG80" s="35">
        <f t="shared" si="12"/>
        <v>0</v>
      </c>
      <c r="AH80" s="40"/>
      <c r="AI80" s="24"/>
      <c r="AJ80" s="40"/>
      <c r="AK80" s="24"/>
      <c r="AL80" s="17"/>
      <c r="AM80" s="24"/>
      <c r="AN80" s="17"/>
      <c r="AO80" s="24"/>
      <c r="AP80" s="17"/>
      <c r="AQ80" s="35">
        <f t="shared" si="15"/>
        <v>0</v>
      </c>
      <c r="AR80" s="40"/>
      <c r="AS80" s="17">
        <v>0</v>
      </c>
      <c r="AT80" s="17"/>
      <c r="AU80" s="17">
        <v>0</v>
      </c>
      <c r="AV80" s="17"/>
      <c r="AW80" s="35">
        <f t="shared" si="13"/>
        <v>0</v>
      </c>
      <c r="AX80" s="35"/>
      <c r="AY80" s="81" t="s">
        <v>175</v>
      </c>
      <c r="AZ80" s="35"/>
      <c r="BA80" s="24">
        <v>0</v>
      </c>
      <c r="BB80" s="17"/>
      <c r="BC80" s="24"/>
      <c r="BD80" s="17"/>
      <c r="BE80" s="24"/>
      <c r="BF80" s="17"/>
      <c r="BG80" s="24"/>
      <c r="BH80" s="17"/>
      <c r="BI80" s="17"/>
      <c r="BJ80" s="17"/>
      <c r="BK80" s="35">
        <f t="shared" si="14"/>
        <v>0</v>
      </c>
      <c r="BL80" s="79"/>
    </row>
    <row r="81" spans="1:64" ht="12.75">
      <c r="A81" s="77" t="s">
        <v>177</v>
      </c>
      <c r="B81" s="77"/>
      <c r="C81" s="35">
        <f t="shared" si="16"/>
        <v>2952098</v>
      </c>
      <c r="D81" s="35"/>
      <c r="E81" s="24">
        <v>23517742</v>
      </c>
      <c r="F81" s="35"/>
      <c r="G81" s="24">
        <v>26469840</v>
      </c>
      <c r="H81" s="35"/>
      <c r="I81" s="35">
        <f t="shared" si="17"/>
        <v>240993</v>
      </c>
      <c r="J81" s="35"/>
      <c r="K81" s="24">
        <v>3591630</v>
      </c>
      <c r="L81" s="35"/>
      <c r="M81" s="24">
        <v>3832623</v>
      </c>
      <c r="N81" s="35"/>
      <c r="O81" s="24">
        <v>19860931</v>
      </c>
      <c r="P81" s="35"/>
      <c r="Q81" s="24">
        <v>0</v>
      </c>
      <c r="R81" s="35"/>
      <c r="S81" s="24">
        <v>2776286</v>
      </c>
      <c r="T81" s="35"/>
      <c r="U81" s="35">
        <f t="shared" si="18"/>
        <v>22637217</v>
      </c>
      <c r="V81" s="35"/>
      <c r="W81" s="35">
        <f t="shared" si="11"/>
        <v>0</v>
      </c>
      <c r="X81" s="35"/>
      <c r="Y81" s="81" t="s">
        <v>177</v>
      </c>
      <c r="Z81" s="35"/>
      <c r="AA81" s="24">
        <v>2451716</v>
      </c>
      <c r="AB81" s="17"/>
      <c r="AC81" s="24">
        <f>3279620-1481081</f>
        <v>1798539</v>
      </c>
      <c r="AD81" s="17"/>
      <c r="AE81" s="24">
        <v>1481081</v>
      </c>
      <c r="AF81" s="17"/>
      <c r="AG81" s="35">
        <f t="shared" si="12"/>
        <v>-827904</v>
      </c>
      <c r="AH81" s="40"/>
      <c r="AI81" s="24">
        <v>-158320</v>
      </c>
      <c r="AJ81" s="40"/>
      <c r="AK81" s="24">
        <v>66306</v>
      </c>
      <c r="AL81" s="17"/>
      <c r="AM81" s="24">
        <v>212428</v>
      </c>
      <c r="AN81" s="17"/>
      <c r="AO81" s="24">
        <v>0</v>
      </c>
      <c r="AP81" s="17"/>
      <c r="AQ81" s="35">
        <f t="shared" si="15"/>
        <v>-1132346</v>
      </c>
      <c r="AR81" s="40"/>
      <c r="AS81" s="17">
        <v>0</v>
      </c>
      <c r="AT81" s="17"/>
      <c r="AU81" s="17">
        <v>0</v>
      </c>
      <c r="AV81" s="17"/>
      <c r="AW81" s="35">
        <f t="shared" si="13"/>
        <v>2711105</v>
      </c>
      <c r="AX81" s="17"/>
      <c r="AY81" s="81" t="s">
        <v>177</v>
      </c>
      <c r="AZ81" s="17"/>
      <c r="BA81" s="24">
        <v>0</v>
      </c>
      <c r="BB81" s="17"/>
      <c r="BC81" s="24">
        <v>0</v>
      </c>
      <c r="BD81" s="17"/>
      <c r="BE81" s="24">
        <v>380815</v>
      </c>
      <c r="BF81" s="17"/>
      <c r="BG81" s="24">
        <f>59067+3151748</f>
        <v>3210815</v>
      </c>
      <c r="BH81" s="17"/>
      <c r="BI81" s="17"/>
      <c r="BJ81" s="17"/>
      <c r="BK81" s="35">
        <f t="shared" si="14"/>
        <v>3591630</v>
      </c>
      <c r="BL81" s="79"/>
    </row>
    <row r="82" spans="1:64" ht="12.75" hidden="1">
      <c r="A82" s="77" t="s">
        <v>69</v>
      </c>
      <c r="B82" s="77"/>
      <c r="C82" s="35">
        <f>+G82-E82</f>
        <v>0</v>
      </c>
      <c r="D82" s="35"/>
      <c r="E82" s="24"/>
      <c r="F82" s="35"/>
      <c r="G82" s="24"/>
      <c r="H82" s="35"/>
      <c r="I82" s="35">
        <f t="shared" si="17"/>
        <v>0</v>
      </c>
      <c r="J82" s="35"/>
      <c r="K82" s="24"/>
      <c r="L82" s="35"/>
      <c r="M82" s="24"/>
      <c r="N82" s="35"/>
      <c r="O82" s="24"/>
      <c r="P82" s="35"/>
      <c r="Q82" s="24">
        <v>0</v>
      </c>
      <c r="R82" s="35"/>
      <c r="S82" s="24"/>
      <c r="T82" s="35"/>
      <c r="U82" s="35">
        <f t="shared" si="18"/>
        <v>0</v>
      </c>
      <c r="V82" s="35"/>
      <c r="W82" s="35">
        <f t="shared" si="11"/>
        <v>0</v>
      </c>
      <c r="X82" s="35"/>
      <c r="Y82" s="81" t="s">
        <v>69</v>
      </c>
      <c r="Z82" s="35"/>
      <c r="AA82" s="24"/>
      <c r="AB82" s="17"/>
      <c r="AC82" s="24"/>
      <c r="AD82" s="17"/>
      <c r="AE82" s="24"/>
      <c r="AF82" s="17"/>
      <c r="AG82" s="35">
        <f t="shared" si="12"/>
        <v>0</v>
      </c>
      <c r="AH82" s="40"/>
      <c r="AI82" s="24"/>
      <c r="AJ82" s="40"/>
      <c r="AK82" s="24"/>
      <c r="AL82" s="17"/>
      <c r="AM82" s="24"/>
      <c r="AN82" s="17"/>
      <c r="AO82" s="24"/>
      <c r="AP82" s="17"/>
      <c r="AQ82" s="35">
        <f t="shared" si="15"/>
        <v>0</v>
      </c>
      <c r="AR82" s="40"/>
      <c r="AS82" s="17">
        <v>0</v>
      </c>
      <c r="AT82" s="17"/>
      <c r="AU82" s="17">
        <v>0</v>
      </c>
      <c r="AV82" s="17"/>
      <c r="AW82" s="35">
        <f t="shared" si="13"/>
        <v>0</v>
      </c>
      <c r="AX82" s="17"/>
      <c r="AY82" s="81" t="s">
        <v>69</v>
      </c>
      <c r="AZ82" s="17"/>
      <c r="BA82" s="24">
        <v>0</v>
      </c>
      <c r="BB82" s="17"/>
      <c r="BC82" s="24"/>
      <c r="BD82" s="17"/>
      <c r="BE82" s="24"/>
      <c r="BF82" s="17"/>
      <c r="BG82" s="24"/>
      <c r="BH82" s="17"/>
      <c r="BI82" s="17"/>
      <c r="BJ82" s="17"/>
      <c r="BK82" s="35">
        <f t="shared" si="14"/>
        <v>0</v>
      </c>
      <c r="BL82" s="79"/>
    </row>
    <row r="83" spans="1:64" ht="12.75">
      <c r="A83" s="77" t="s">
        <v>98</v>
      </c>
      <c r="B83" s="77"/>
      <c r="C83" s="35">
        <f t="shared" si="16"/>
        <v>966819</v>
      </c>
      <c r="D83" s="35"/>
      <c r="E83" s="24">
        <v>5208217</v>
      </c>
      <c r="F83" s="35"/>
      <c r="G83" s="24">
        <v>6175036</v>
      </c>
      <c r="H83" s="35"/>
      <c r="I83" s="35">
        <f t="shared" si="17"/>
        <v>231327</v>
      </c>
      <c r="J83" s="35"/>
      <c r="K83" s="24">
        <v>1412757</v>
      </c>
      <c r="L83" s="35"/>
      <c r="M83" s="24">
        <v>1644084</v>
      </c>
      <c r="N83" s="35"/>
      <c r="O83" s="24">
        <v>3669828</v>
      </c>
      <c r="P83" s="35"/>
      <c r="Q83" s="24">
        <v>0</v>
      </c>
      <c r="R83" s="35"/>
      <c r="S83" s="24">
        <v>861124</v>
      </c>
      <c r="T83" s="35"/>
      <c r="U83" s="35">
        <f>SUM(O83:S83)</f>
        <v>4530952</v>
      </c>
      <c r="V83" s="35"/>
      <c r="W83" s="35">
        <f t="shared" si="11"/>
        <v>0</v>
      </c>
      <c r="X83" s="35"/>
      <c r="Y83" s="81" t="s">
        <v>98</v>
      </c>
      <c r="Z83" s="35"/>
      <c r="AA83" s="24">
        <v>1401468</v>
      </c>
      <c r="AB83" s="17"/>
      <c r="AC83" s="24">
        <f>1375198-237587</f>
        <v>1137611</v>
      </c>
      <c r="AD83" s="17"/>
      <c r="AE83" s="24">
        <v>237587</v>
      </c>
      <c r="AF83" s="17"/>
      <c r="AG83" s="35">
        <f t="shared" si="12"/>
        <v>26270</v>
      </c>
      <c r="AH83" s="40"/>
      <c r="AI83" s="24">
        <v>-36111</v>
      </c>
      <c r="AJ83" s="40"/>
      <c r="AK83" s="24">
        <v>0</v>
      </c>
      <c r="AL83" s="17"/>
      <c r="AM83" s="24">
        <v>0</v>
      </c>
      <c r="AN83" s="17"/>
      <c r="AO83" s="24">
        <v>0</v>
      </c>
      <c r="AP83" s="17"/>
      <c r="AQ83" s="35">
        <f t="shared" si="15"/>
        <v>-9841</v>
      </c>
      <c r="AR83" s="40"/>
      <c r="AS83" s="17">
        <v>0</v>
      </c>
      <c r="AT83" s="17"/>
      <c r="AU83" s="17">
        <v>0</v>
      </c>
      <c r="AV83" s="17"/>
      <c r="AW83" s="35">
        <f t="shared" si="13"/>
        <v>735492</v>
      </c>
      <c r="AX83" s="17"/>
      <c r="AY83" s="81" t="s">
        <v>98</v>
      </c>
      <c r="AZ83" s="17"/>
      <c r="BA83" s="24">
        <v>0</v>
      </c>
      <c r="BB83" s="17"/>
      <c r="BC83" s="24">
        <v>0</v>
      </c>
      <c r="BD83" s="17"/>
      <c r="BE83" s="24">
        <v>1412757</v>
      </c>
      <c r="BF83" s="17"/>
      <c r="BG83" s="24">
        <v>0</v>
      </c>
      <c r="BH83" s="17"/>
      <c r="BI83" s="17"/>
      <c r="BJ83" s="17"/>
      <c r="BK83" s="35">
        <f t="shared" si="14"/>
        <v>1412757</v>
      </c>
      <c r="BL83" s="79"/>
    </row>
    <row r="84" spans="1:64" ht="12.75">
      <c r="A84" s="77" t="s">
        <v>70</v>
      </c>
      <c r="B84" s="77"/>
      <c r="C84" s="35">
        <f t="shared" si="16"/>
        <v>3173557</v>
      </c>
      <c r="D84" s="35"/>
      <c r="E84" s="24">
        <v>18006800</v>
      </c>
      <c r="F84" s="35"/>
      <c r="G84" s="24">
        <v>21180357</v>
      </c>
      <c r="H84" s="35"/>
      <c r="I84" s="35">
        <f t="shared" si="17"/>
        <v>677176</v>
      </c>
      <c r="J84" s="35"/>
      <c r="K84" s="24">
        <v>7646599</v>
      </c>
      <c r="L84" s="35"/>
      <c r="M84" s="24">
        <v>8323775</v>
      </c>
      <c r="N84" s="35"/>
      <c r="O84" s="24">
        <v>9983652</v>
      </c>
      <c r="P84" s="35"/>
      <c r="Q84" s="24">
        <v>0</v>
      </c>
      <c r="R84" s="35"/>
      <c r="S84" s="24">
        <v>2872930</v>
      </c>
      <c r="T84" s="35"/>
      <c r="U84" s="35">
        <f t="shared" si="18"/>
        <v>12856582</v>
      </c>
      <c r="V84" s="35"/>
      <c r="W84" s="35">
        <f t="shared" si="11"/>
        <v>0</v>
      </c>
      <c r="X84" s="35"/>
      <c r="Y84" s="81" t="s">
        <v>70</v>
      </c>
      <c r="Z84" s="35"/>
      <c r="AA84" s="24">
        <v>3389489</v>
      </c>
      <c r="AB84" s="17"/>
      <c r="AC84" s="24">
        <f>2657400-397178</f>
        <v>2260222</v>
      </c>
      <c r="AD84" s="17"/>
      <c r="AE84" s="24">
        <v>397178</v>
      </c>
      <c r="AF84" s="17"/>
      <c r="AG84" s="35">
        <f t="shared" si="12"/>
        <v>732089</v>
      </c>
      <c r="AH84" s="40"/>
      <c r="AI84" s="24">
        <v>-357458</v>
      </c>
      <c r="AJ84" s="40"/>
      <c r="AK84" s="24">
        <v>0</v>
      </c>
      <c r="AL84" s="17"/>
      <c r="AM84" s="24">
        <v>0</v>
      </c>
      <c r="AN84" s="17"/>
      <c r="AO84" s="24">
        <v>68258</v>
      </c>
      <c r="AP84" s="17"/>
      <c r="AQ84" s="35">
        <f t="shared" si="15"/>
        <v>442889</v>
      </c>
      <c r="AR84" s="40"/>
      <c r="AS84" s="17">
        <v>0</v>
      </c>
      <c r="AT84" s="17"/>
      <c r="AU84" s="17">
        <v>0</v>
      </c>
      <c r="AV84" s="17"/>
      <c r="AW84" s="35">
        <f t="shared" si="13"/>
        <v>2496381</v>
      </c>
      <c r="AX84" s="17"/>
      <c r="AY84" s="81" t="s">
        <v>70</v>
      </c>
      <c r="AZ84" s="17"/>
      <c r="BA84" s="24">
        <v>2989501</v>
      </c>
      <c r="BB84" s="17"/>
      <c r="BC84" s="24">
        <v>2763523</v>
      </c>
      <c r="BD84" s="17"/>
      <c r="BE84" s="24">
        <v>666973</v>
      </c>
      <c r="BF84" s="17"/>
      <c r="BG84" s="24">
        <f>1203192+23410</f>
        <v>1226602</v>
      </c>
      <c r="BH84" s="17"/>
      <c r="BI84" s="17"/>
      <c r="BJ84" s="17"/>
      <c r="BK84" s="35">
        <f t="shared" si="14"/>
        <v>7646599</v>
      </c>
      <c r="BL84" s="79"/>
    </row>
    <row r="85" spans="1:64" ht="12.75">
      <c r="A85" s="77" t="s">
        <v>71</v>
      </c>
      <c r="B85" s="77"/>
      <c r="C85" s="35">
        <f t="shared" si="16"/>
        <v>392579</v>
      </c>
      <c r="D85" s="35"/>
      <c r="E85" s="24">
        <f>1125429</f>
        <v>1125429</v>
      </c>
      <c r="F85" s="35"/>
      <c r="G85" s="24">
        <f>135566+1382442</f>
        <v>1518008</v>
      </c>
      <c r="H85" s="35"/>
      <c r="I85" s="35">
        <f t="shared" si="17"/>
        <v>39398</v>
      </c>
      <c r="J85" s="35"/>
      <c r="K85" s="24">
        <f>151023+99556</f>
        <v>250579</v>
      </c>
      <c r="L85" s="35"/>
      <c r="M85" s="24">
        <f>181978+107999</f>
        <v>289977</v>
      </c>
      <c r="N85" s="35"/>
      <c r="O85" s="24">
        <v>1016189</v>
      </c>
      <c r="P85" s="35"/>
      <c r="Q85" s="24">
        <v>0</v>
      </c>
      <c r="R85" s="35"/>
      <c r="S85" s="24">
        <f>258254-46412</f>
        <v>211842</v>
      </c>
      <c r="T85" s="35"/>
      <c r="U85" s="35">
        <f t="shared" si="18"/>
        <v>1228031</v>
      </c>
      <c r="V85" s="35"/>
      <c r="W85" s="35">
        <f t="shared" si="11"/>
        <v>0</v>
      </c>
      <c r="X85" s="35"/>
      <c r="Y85" s="81" t="s">
        <v>71</v>
      </c>
      <c r="Z85" s="35"/>
      <c r="AA85" s="24">
        <f>179802+121464</f>
        <v>301266</v>
      </c>
      <c r="AB85" s="17"/>
      <c r="AC85" s="24">
        <f>102628+236776-42359</f>
        <v>297045</v>
      </c>
      <c r="AD85" s="17"/>
      <c r="AE85" s="24">
        <v>42359</v>
      </c>
      <c r="AF85" s="17"/>
      <c r="AG85" s="35">
        <f t="shared" si="12"/>
        <v>-38138</v>
      </c>
      <c r="AH85" s="40"/>
      <c r="AI85" s="24">
        <f>235-1929</f>
        <v>-1694</v>
      </c>
      <c r="AJ85" s="40"/>
      <c r="AK85" s="24">
        <v>105335</v>
      </c>
      <c r="AL85" s="17"/>
      <c r="AM85" s="24">
        <v>0</v>
      </c>
      <c r="AN85" s="17"/>
      <c r="AO85" s="24">
        <v>0</v>
      </c>
      <c r="AP85" s="17"/>
      <c r="AQ85" s="35">
        <f t="shared" si="15"/>
        <v>65503</v>
      </c>
      <c r="AR85" s="40"/>
      <c r="AS85" s="17">
        <v>0</v>
      </c>
      <c r="AT85" s="17"/>
      <c r="AU85" s="17">
        <v>0</v>
      </c>
      <c r="AV85" s="17"/>
      <c r="AW85" s="35">
        <f t="shared" si="13"/>
        <v>353181</v>
      </c>
      <c r="AX85" s="17"/>
      <c r="AY85" s="81" t="s">
        <v>71</v>
      </c>
      <c r="AZ85" s="17"/>
      <c r="BA85" s="24">
        <v>0</v>
      </c>
      <c r="BB85" s="17"/>
      <c r="BC85" s="24">
        <v>0</v>
      </c>
      <c r="BD85" s="17"/>
      <c r="BE85" s="24">
        <f>11023+140000+8556+91000</f>
        <v>250579</v>
      </c>
      <c r="BF85" s="17"/>
      <c r="BG85" s="24">
        <v>0</v>
      </c>
      <c r="BH85" s="17"/>
      <c r="BI85" s="17"/>
      <c r="BJ85" s="17"/>
      <c r="BK85" s="35">
        <f t="shared" si="14"/>
        <v>250579</v>
      </c>
      <c r="BL85" s="79"/>
    </row>
    <row r="86" spans="1:64" ht="12.75">
      <c r="A86" s="77" t="s">
        <v>72</v>
      </c>
      <c r="B86" s="77"/>
      <c r="C86" s="35">
        <f t="shared" si="16"/>
        <v>303115</v>
      </c>
      <c r="D86" s="35"/>
      <c r="E86" s="24">
        <v>10425522</v>
      </c>
      <c r="F86" s="35"/>
      <c r="G86" s="24">
        <v>10728637</v>
      </c>
      <c r="H86" s="35"/>
      <c r="I86" s="35">
        <f t="shared" si="17"/>
        <v>388443</v>
      </c>
      <c r="J86" s="35"/>
      <c r="K86" s="24">
        <v>2697509</v>
      </c>
      <c r="L86" s="35"/>
      <c r="M86" s="24">
        <v>3085952</v>
      </c>
      <c r="N86" s="35"/>
      <c r="O86" s="24">
        <v>7939990</v>
      </c>
      <c r="P86" s="35"/>
      <c r="Q86" s="24">
        <v>0</v>
      </c>
      <c r="R86" s="35"/>
      <c r="S86" s="24">
        <v>-297305</v>
      </c>
      <c r="T86" s="35"/>
      <c r="U86" s="35">
        <f t="shared" si="18"/>
        <v>7642685</v>
      </c>
      <c r="V86" s="35"/>
      <c r="W86" s="35">
        <f t="shared" si="11"/>
        <v>0</v>
      </c>
      <c r="X86" s="35"/>
      <c r="Y86" s="81" t="s">
        <v>72</v>
      </c>
      <c r="Z86" s="35"/>
      <c r="AA86" s="24">
        <v>753216</v>
      </c>
      <c r="AB86" s="17"/>
      <c r="AC86" s="24">
        <f>1134959-266711</f>
        <v>868248</v>
      </c>
      <c r="AD86" s="17"/>
      <c r="AE86" s="24">
        <v>266711</v>
      </c>
      <c r="AF86" s="17"/>
      <c r="AG86" s="35">
        <f t="shared" si="12"/>
        <v>-381743</v>
      </c>
      <c r="AH86" s="40"/>
      <c r="AI86" s="24">
        <v>432850</v>
      </c>
      <c r="AJ86" s="40"/>
      <c r="AK86" s="24">
        <v>145000</v>
      </c>
      <c r="AL86" s="17"/>
      <c r="AM86" s="24">
        <v>0</v>
      </c>
      <c r="AN86" s="17"/>
      <c r="AO86" s="24">
        <v>17750</v>
      </c>
      <c r="AP86" s="17"/>
      <c r="AQ86" s="35">
        <f t="shared" si="15"/>
        <v>213857</v>
      </c>
      <c r="AR86" s="40"/>
      <c r="AS86" s="17">
        <v>0</v>
      </c>
      <c r="AT86" s="17"/>
      <c r="AU86" s="17">
        <v>0</v>
      </c>
      <c r="AV86" s="17"/>
      <c r="AW86" s="35">
        <f t="shared" si="13"/>
        <v>-85328</v>
      </c>
      <c r="AX86" s="17"/>
      <c r="AY86" s="81" t="s">
        <v>72</v>
      </c>
      <c r="AZ86" s="17"/>
      <c r="BA86" s="24">
        <v>0</v>
      </c>
      <c r="BB86" s="17"/>
      <c r="BC86" s="24">
        <v>0</v>
      </c>
      <c r="BD86" s="17"/>
      <c r="BE86" s="24">
        <f>164685+2133823+354905</f>
        <v>2653413</v>
      </c>
      <c r="BF86" s="17"/>
      <c r="BG86" s="24">
        <v>44096</v>
      </c>
      <c r="BH86" s="17"/>
      <c r="BI86" s="17"/>
      <c r="BJ86" s="17"/>
      <c r="BK86" s="35">
        <f t="shared" si="14"/>
        <v>2697509</v>
      </c>
      <c r="BL86" s="79"/>
    </row>
    <row r="87" spans="1:64" ht="12.75">
      <c r="A87" s="77" t="s">
        <v>73</v>
      </c>
      <c r="B87" s="77"/>
      <c r="C87" s="35">
        <f t="shared" si="16"/>
        <v>19934602</v>
      </c>
      <c r="D87" s="35"/>
      <c r="E87" s="24">
        <v>117936585</v>
      </c>
      <c r="F87" s="35"/>
      <c r="G87" s="24">
        <v>137871187</v>
      </c>
      <c r="H87" s="35"/>
      <c r="I87" s="35">
        <f t="shared" si="17"/>
        <v>3746783</v>
      </c>
      <c r="J87" s="35"/>
      <c r="K87" s="24">
        <v>21992951</v>
      </c>
      <c r="L87" s="35"/>
      <c r="M87" s="24">
        <v>25739734</v>
      </c>
      <c r="N87" s="35"/>
      <c r="O87" s="24">
        <v>94042335</v>
      </c>
      <c r="P87" s="35"/>
      <c r="Q87" s="24">
        <v>0</v>
      </c>
      <c r="R87" s="35"/>
      <c r="S87" s="24">
        <v>18089118</v>
      </c>
      <c r="T87" s="35"/>
      <c r="U87" s="35">
        <f t="shared" si="18"/>
        <v>112131453</v>
      </c>
      <c r="V87" s="35"/>
      <c r="W87" s="35">
        <f t="shared" si="11"/>
        <v>0</v>
      </c>
      <c r="X87" s="35"/>
      <c r="Y87" s="81" t="s">
        <v>73</v>
      </c>
      <c r="Z87" s="35"/>
      <c r="AA87" s="24">
        <v>21575031</v>
      </c>
      <c r="AB87" s="17"/>
      <c r="AC87" s="24">
        <f>18274628-4085502</f>
        <v>14189126</v>
      </c>
      <c r="AD87" s="17"/>
      <c r="AE87" s="24">
        <v>4085502</v>
      </c>
      <c r="AF87" s="17"/>
      <c r="AG87" s="35">
        <f t="shared" si="12"/>
        <v>3300403</v>
      </c>
      <c r="AH87" s="40"/>
      <c r="AI87" s="24">
        <v>-1161052</v>
      </c>
      <c r="AJ87" s="40"/>
      <c r="AK87" s="24">
        <v>0</v>
      </c>
      <c r="AL87" s="17"/>
      <c r="AM87" s="24">
        <v>0</v>
      </c>
      <c r="AN87" s="17"/>
      <c r="AO87" s="24">
        <v>273870</v>
      </c>
      <c r="AP87" s="17"/>
      <c r="AQ87" s="35">
        <f t="shared" si="15"/>
        <v>2413221</v>
      </c>
      <c r="AR87" s="40"/>
      <c r="AS87" s="17">
        <v>0</v>
      </c>
      <c r="AT87" s="17"/>
      <c r="AU87" s="17">
        <v>0</v>
      </c>
      <c r="AV87" s="17"/>
      <c r="AW87" s="35">
        <f t="shared" si="13"/>
        <v>16187819</v>
      </c>
      <c r="AX87" s="17"/>
      <c r="AY87" s="81" t="s">
        <v>73</v>
      </c>
      <c r="AZ87" s="17"/>
      <c r="BA87" s="24">
        <v>12158197</v>
      </c>
      <c r="BB87" s="17"/>
      <c r="BC87" s="24">
        <v>0</v>
      </c>
      <c r="BD87" s="17"/>
      <c r="BE87" s="24">
        <f>373417+8692691</f>
        <v>9066108</v>
      </c>
      <c r="BF87" s="17"/>
      <c r="BG87" s="24">
        <v>768646</v>
      </c>
      <c r="BH87" s="17"/>
      <c r="BI87" s="17"/>
      <c r="BJ87" s="17"/>
      <c r="BK87" s="35">
        <f t="shared" si="14"/>
        <v>21992951</v>
      </c>
      <c r="BL87" s="79"/>
    </row>
    <row r="88" spans="1:64" ht="12.75">
      <c r="A88" s="77" t="s">
        <v>74</v>
      </c>
      <c r="B88" s="77"/>
      <c r="C88" s="35">
        <f t="shared" si="16"/>
        <v>31141675</v>
      </c>
      <c r="D88" s="35"/>
      <c r="E88" s="24">
        <v>207853248</v>
      </c>
      <c r="F88" s="35"/>
      <c r="G88" s="24">
        <v>238994923</v>
      </c>
      <c r="H88" s="35"/>
      <c r="I88" s="35">
        <f t="shared" si="17"/>
        <v>14597825</v>
      </c>
      <c r="J88" s="35"/>
      <c r="K88" s="24">
        <v>53968213</v>
      </c>
      <c r="L88" s="35"/>
      <c r="M88" s="24">
        <v>68566038</v>
      </c>
      <c r="N88" s="35"/>
      <c r="O88" s="24">
        <v>150626859</v>
      </c>
      <c r="P88" s="35"/>
      <c r="Q88" s="24">
        <v>0</v>
      </c>
      <c r="R88" s="35"/>
      <c r="S88" s="24">
        <v>19802026</v>
      </c>
      <c r="T88" s="35"/>
      <c r="U88" s="35">
        <f t="shared" si="18"/>
        <v>170428885</v>
      </c>
      <c r="V88" s="35"/>
      <c r="W88" s="35">
        <f t="shared" si="11"/>
        <v>0</v>
      </c>
      <c r="X88" s="35"/>
      <c r="Y88" s="81" t="s">
        <v>74</v>
      </c>
      <c r="Z88" s="35"/>
      <c r="AA88" s="24">
        <v>37212430</v>
      </c>
      <c r="AB88" s="17"/>
      <c r="AC88" s="24">
        <f>39251915-6732652</f>
        <v>32519263</v>
      </c>
      <c r="AD88" s="17"/>
      <c r="AE88" s="24">
        <v>6732652</v>
      </c>
      <c r="AF88" s="17"/>
      <c r="AG88" s="35">
        <f t="shared" si="12"/>
        <v>-2039485</v>
      </c>
      <c r="AH88" s="40"/>
      <c r="AI88" s="24">
        <v>1433514</v>
      </c>
      <c r="AJ88" s="40"/>
      <c r="AK88" s="24">
        <v>0</v>
      </c>
      <c r="AL88" s="17"/>
      <c r="AM88" s="24">
        <v>0</v>
      </c>
      <c r="AN88" s="17"/>
      <c r="AO88" s="24">
        <v>1977917</v>
      </c>
      <c r="AP88" s="17"/>
      <c r="AQ88" s="35">
        <f t="shared" si="15"/>
        <v>1371946</v>
      </c>
      <c r="AR88" s="40"/>
      <c r="AS88" s="17">
        <v>0</v>
      </c>
      <c r="AT88" s="17"/>
      <c r="AU88" s="17">
        <v>0</v>
      </c>
      <c r="AV88" s="17"/>
      <c r="AW88" s="35">
        <f t="shared" si="13"/>
        <v>16543850</v>
      </c>
      <c r="AX88" s="17"/>
      <c r="AY88" s="81" t="s">
        <v>74</v>
      </c>
      <c r="AZ88" s="17"/>
      <c r="BA88" s="24">
        <v>37819735</v>
      </c>
      <c r="BB88" s="17"/>
      <c r="BC88" s="24">
        <v>0</v>
      </c>
      <c r="BD88" s="17"/>
      <c r="BE88" s="24">
        <f>7966780+558618+3547568+3222113</f>
        <v>15295079</v>
      </c>
      <c r="BF88" s="17"/>
      <c r="BG88" s="24">
        <v>853399</v>
      </c>
      <c r="BH88" s="17"/>
      <c r="BI88" s="17"/>
      <c r="BJ88" s="17"/>
      <c r="BK88" s="35">
        <f t="shared" si="14"/>
        <v>53968213</v>
      </c>
      <c r="BL88" s="79"/>
    </row>
    <row r="89" spans="1:64" ht="12.75">
      <c r="A89" s="77" t="s">
        <v>75</v>
      </c>
      <c r="B89" s="77"/>
      <c r="C89" s="35">
        <f t="shared" si="16"/>
        <v>9337524</v>
      </c>
      <c r="D89" s="35"/>
      <c r="E89" s="24">
        <v>56241813</v>
      </c>
      <c r="F89" s="35"/>
      <c r="G89" s="24">
        <v>65579337</v>
      </c>
      <c r="H89" s="35"/>
      <c r="I89" s="35">
        <f t="shared" si="17"/>
        <v>1902039</v>
      </c>
      <c r="J89" s="35"/>
      <c r="K89" s="24">
        <v>12538988</v>
      </c>
      <c r="L89" s="35"/>
      <c r="M89" s="24">
        <v>14441027</v>
      </c>
      <c r="N89" s="35"/>
      <c r="O89" s="24">
        <v>41907923</v>
      </c>
      <c r="P89" s="35"/>
      <c r="Q89" s="24">
        <v>0</v>
      </c>
      <c r="R89" s="35"/>
      <c r="S89" s="24">
        <v>9230387</v>
      </c>
      <c r="T89" s="35"/>
      <c r="U89" s="35">
        <f t="shared" si="18"/>
        <v>51138310</v>
      </c>
      <c r="V89" s="35"/>
      <c r="W89" s="35">
        <f t="shared" si="11"/>
        <v>0</v>
      </c>
      <c r="X89" s="35"/>
      <c r="Y89" s="81" t="s">
        <v>75</v>
      </c>
      <c r="Z89" s="35"/>
      <c r="AA89" s="24">
        <v>12322505</v>
      </c>
      <c r="AB89" s="17"/>
      <c r="AC89" s="24">
        <f>11481319-2001716</f>
        <v>9479603</v>
      </c>
      <c r="AD89" s="17"/>
      <c r="AE89" s="24">
        <v>2001716</v>
      </c>
      <c r="AF89" s="17"/>
      <c r="AG89" s="35">
        <f t="shared" si="12"/>
        <v>841186</v>
      </c>
      <c r="AH89" s="40"/>
      <c r="AI89" s="24">
        <v>-481045</v>
      </c>
      <c r="AJ89" s="40"/>
      <c r="AK89" s="24">
        <v>1545096</v>
      </c>
      <c r="AL89" s="17"/>
      <c r="AM89" s="24">
        <v>656383</v>
      </c>
      <c r="AN89" s="17"/>
      <c r="AO89" s="24">
        <v>658944</v>
      </c>
      <c r="AP89" s="17"/>
      <c r="AQ89" s="35">
        <f t="shared" si="15"/>
        <v>1907798</v>
      </c>
      <c r="AR89" s="40"/>
      <c r="AS89" s="17">
        <v>0</v>
      </c>
      <c r="AT89" s="17"/>
      <c r="AU89" s="17">
        <v>0</v>
      </c>
      <c r="AV89" s="17"/>
      <c r="AW89" s="35">
        <f t="shared" si="13"/>
        <v>7435485</v>
      </c>
      <c r="AX89" s="17"/>
      <c r="AY89" s="81" t="s">
        <v>75</v>
      </c>
      <c r="AZ89" s="17"/>
      <c r="BA89" s="24">
        <v>602737</v>
      </c>
      <c r="BB89" s="17"/>
      <c r="BC89" s="24">
        <v>3141400</v>
      </c>
      <c r="BD89" s="17"/>
      <c r="BE89" s="24">
        <f>359948+7027718</f>
        <v>7387666</v>
      </c>
      <c r="BF89" s="17"/>
      <c r="BG89" s="24">
        <f>307185+1100000</f>
        <v>1407185</v>
      </c>
      <c r="BH89" s="17"/>
      <c r="BI89" s="17"/>
      <c r="BJ89" s="17"/>
      <c r="BK89" s="35">
        <f t="shared" si="14"/>
        <v>12538988</v>
      </c>
      <c r="BL89" s="79"/>
    </row>
    <row r="90" spans="1:64" ht="12.75">
      <c r="A90" s="77" t="s">
        <v>76</v>
      </c>
      <c r="B90" s="77"/>
      <c r="C90" s="35">
        <f t="shared" si="16"/>
        <v>1601058</v>
      </c>
      <c r="D90" s="35"/>
      <c r="E90" s="24">
        <v>18734164</v>
      </c>
      <c r="F90" s="35"/>
      <c r="G90" s="24">
        <v>20335222</v>
      </c>
      <c r="H90" s="35"/>
      <c r="I90" s="35">
        <f t="shared" si="17"/>
        <v>311987</v>
      </c>
      <c r="J90" s="35"/>
      <c r="K90" s="24">
        <v>5639587</v>
      </c>
      <c r="L90" s="35"/>
      <c r="M90" s="24">
        <v>5951574</v>
      </c>
      <c r="N90" s="35"/>
      <c r="O90" s="24">
        <v>11980725</v>
      </c>
      <c r="P90" s="35"/>
      <c r="Q90" s="24">
        <v>0</v>
      </c>
      <c r="R90" s="35"/>
      <c r="S90" s="24">
        <v>2402923</v>
      </c>
      <c r="T90" s="35"/>
      <c r="U90" s="35">
        <f t="shared" si="18"/>
        <v>14383648</v>
      </c>
      <c r="V90" s="35"/>
      <c r="W90" s="35">
        <f t="shared" si="11"/>
        <v>0</v>
      </c>
      <c r="X90" s="35"/>
      <c r="Y90" s="81" t="s">
        <v>76</v>
      </c>
      <c r="Z90" s="35"/>
      <c r="AA90" s="24">
        <v>1451915</v>
      </c>
      <c r="AB90" s="17"/>
      <c r="AC90" s="24">
        <f>1832534-426902</f>
        <v>1405632</v>
      </c>
      <c r="AD90" s="17"/>
      <c r="AE90" s="24">
        <v>426902</v>
      </c>
      <c r="AF90" s="17"/>
      <c r="AG90" s="35">
        <f t="shared" si="12"/>
        <v>-380619</v>
      </c>
      <c r="AH90" s="40"/>
      <c r="AI90" s="24">
        <v>832274</v>
      </c>
      <c r="AJ90" s="40"/>
      <c r="AK90" s="24">
        <v>0</v>
      </c>
      <c r="AL90" s="17"/>
      <c r="AM90" s="24">
        <v>0</v>
      </c>
      <c r="AN90" s="17"/>
      <c r="AO90" s="24">
        <v>0</v>
      </c>
      <c r="AP90" s="17"/>
      <c r="AQ90" s="35">
        <f t="shared" si="15"/>
        <v>451655</v>
      </c>
      <c r="AR90" s="40"/>
      <c r="AS90" s="17">
        <v>0</v>
      </c>
      <c r="AT90" s="17"/>
      <c r="AU90" s="17">
        <v>0</v>
      </c>
      <c r="AV90" s="17"/>
      <c r="AW90" s="35">
        <f t="shared" si="13"/>
        <v>1289071</v>
      </c>
      <c r="AX90" s="17"/>
      <c r="AY90" s="81" t="s">
        <v>76</v>
      </c>
      <c r="AZ90" s="17"/>
      <c r="BA90" s="24">
        <v>1207900</v>
      </c>
      <c r="BB90" s="17"/>
      <c r="BC90" s="24">
        <v>0</v>
      </c>
      <c r="BD90" s="17"/>
      <c r="BE90" s="24">
        <f>1524239+2277114</f>
        <v>3801353</v>
      </c>
      <c r="BF90" s="17"/>
      <c r="BG90" s="24">
        <f>12339+362995+255000</f>
        <v>630334</v>
      </c>
      <c r="BH90" s="17"/>
      <c r="BI90" s="17"/>
      <c r="BJ90" s="17"/>
      <c r="BK90" s="35">
        <f t="shared" si="14"/>
        <v>5639587</v>
      </c>
      <c r="BL90" s="79"/>
    </row>
    <row r="91" spans="1:64" ht="12.75" customHeight="1" hidden="1">
      <c r="A91" s="77" t="s">
        <v>77</v>
      </c>
      <c r="B91" s="77"/>
      <c r="C91" s="35">
        <f t="shared" si="16"/>
        <v>0</v>
      </c>
      <c r="D91" s="35"/>
      <c r="E91" s="24"/>
      <c r="F91" s="35"/>
      <c r="G91" s="24"/>
      <c r="H91" s="35"/>
      <c r="I91" s="35">
        <f t="shared" si="17"/>
        <v>0</v>
      </c>
      <c r="J91" s="35"/>
      <c r="K91" s="24"/>
      <c r="L91" s="35"/>
      <c r="M91" s="24"/>
      <c r="N91" s="35"/>
      <c r="O91" s="24"/>
      <c r="P91" s="35"/>
      <c r="Q91" s="24">
        <v>0</v>
      </c>
      <c r="R91" s="35"/>
      <c r="S91" s="24"/>
      <c r="T91" s="35"/>
      <c r="U91" s="35">
        <f t="shared" si="18"/>
        <v>0</v>
      </c>
      <c r="V91" s="35"/>
      <c r="W91" s="35">
        <f t="shared" si="11"/>
        <v>0</v>
      </c>
      <c r="X91" s="35"/>
      <c r="Y91" s="81" t="s">
        <v>77</v>
      </c>
      <c r="Z91" s="35"/>
      <c r="AA91" s="24"/>
      <c r="AB91" s="17"/>
      <c r="AC91" s="24"/>
      <c r="AD91" s="17"/>
      <c r="AE91" s="24"/>
      <c r="AF91" s="17"/>
      <c r="AG91" s="35">
        <f t="shared" si="12"/>
        <v>0</v>
      </c>
      <c r="AH91" s="40"/>
      <c r="AI91" s="24"/>
      <c r="AJ91" s="40"/>
      <c r="AK91" s="24"/>
      <c r="AL91" s="17"/>
      <c r="AM91" s="24"/>
      <c r="AN91" s="17"/>
      <c r="AO91" s="24"/>
      <c r="AP91" s="17"/>
      <c r="AQ91" s="35">
        <f t="shared" si="15"/>
        <v>0</v>
      </c>
      <c r="AR91" s="40"/>
      <c r="AS91" s="17">
        <v>0</v>
      </c>
      <c r="AT91" s="17"/>
      <c r="AU91" s="17">
        <v>0</v>
      </c>
      <c r="AV91" s="17"/>
      <c r="AW91" s="35">
        <f t="shared" si="13"/>
        <v>0</v>
      </c>
      <c r="AX91" s="17"/>
      <c r="AY91" s="81" t="s">
        <v>77</v>
      </c>
      <c r="AZ91" s="17"/>
      <c r="BA91" s="24"/>
      <c r="BB91" s="17"/>
      <c r="BC91" s="24"/>
      <c r="BD91" s="17"/>
      <c r="BE91" s="24"/>
      <c r="BF91" s="17"/>
      <c r="BG91" s="24"/>
      <c r="BH91" s="17"/>
      <c r="BI91" s="17"/>
      <c r="BJ91" s="17"/>
      <c r="BK91" s="35">
        <f t="shared" si="14"/>
        <v>0</v>
      </c>
      <c r="BL91" s="79"/>
    </row>
    <row r="92" spans="1:68" ht="12.75" customHeight="1" hidden="1">
      <c r="A92" s="77" t="s">
        <v>78</v>
      </c>
      <c r="B92" s="77"/>
      <c r="C92" s="35">
        <f t="shared" si="16"/>
        <v>0</v>
      </c>
      <c r="D92" s="35"/>
      <c r="E92" s="24"/>
      <c r="F92" s="35"/>
      <c r="G92" s="24"/>
      <c r="H92" s="35"/>
      <c r="I92" s="35">
        <f t="shared" si="17"/>
        <v>0</v>
      </c>
      <c r="J92" s="35"/>
      <c r="K92" s="24"/>
      <c r="L92" s="35"/>
      <c r="M92" s="24"/>
      <c r="N92" s="35"/>
      <c r="O92" s="24"/>
      <c r="P92" s="35"/>
      <c r="Q92" s="24">
        <v>0</v>
      </c>
      <c r="R92" s="35"/>
      <c r="S92" s="24"/>
      <c r="T92" s="35"/>
      <c r="U92" s="35">
        <f t="shared" si="18"/>
        <v>0</v>
      </c>
      <c r="V92" s="35"/>
      <c r="W92" s="35">
        <f t="shared" si="11"/>
        <v>0</v>
      </c>
      <c r="X92" s="35"/>
      <c r="Y92" s="81" t="s">
        <v>78</v>
      </c>
      <c r="Z92" s="35"/>
      <c r="AA92" s="24"/>
      <c r="AB92" s="17"/>
      <c r="AC92" s="24"/>
      <c r="AD92" s="17"/>
      <c r="AE92" s="24"/>
      <c r="AF92" s="17"/>
      <c r="AG92" s="35">
        <f t="shared" si="12"/>
        <v>0</v>
      </c>
      <c r="AH92" s="40"/>
      <c r="AI92" s="24"/>
      <c r="AJ92" s="40"/>
      <c r="AK92" s="24"/>
      <c r="AL92" s="17"/>
      <c r="AM92" s="24"/>
      <c r="AN92" s="17"/>
      <c r="AO92" s="24"/>
      <c r="AP92" s="17"/>
      <c r="AQ92" s="35">
        <f t="shared" si="15"/>
        <v>0</v>
      </c>
      <c r="AR92" s="40"/>
      <c r="AS92" s="17">
        <v>0</v>
      </c>
      <c r="AT92" s="17"/>
      <c r="AU92" s="17">
        <v>0</v>
      </c>
      <c r="AV92" s="17"/>
      <c r="AW92" s="35">
        <f t="shared" si="13"/>
        <v>0</v>
      </c>
      <c r="AX92" s="35"/>
      <c r="AY92" s="81" t="s">
        <v>78</v>
      </c>
      <c r="AZ92" s="35"/>
      <c r="BA92" s="24"/>
      <c r="BB92" s="17"/>
      <c r="BC92" s="24"/>
      <c r="BD92" s="17"/>
      <c r="BE92" s="24"/>
      <c r="BF92" s="17"/>
      <c r="BG92" s="24"/>
      <c r="BH92" s="17"/>
      <c r="BI92" s="17"/>
      <c r="BJ92" s="17"/>
      <c r="BK92" s="35">
        <f t="shared" si="14"/>
        <v>0</v>
      </c>
      <c r="BL92" s="79"/>
      <c r="BM92" s="79"/>
      <c r="BN92" s="79"/>
      <c r="BO92" s="79"/>
      <c r="BP92" s="79"/>
    </row>
    <row r="93" spans="1:64" ht="12.75" customHeight="1" hidden="1">
      <c r="A93" s="77" t="s">
        <v>79</v>
      </c>
      <c r="B93" s="77"/>
      <c r="C93" s="35">
        <f t="shared" si="16"/>
        <v>0</v>
      </c>
      <c r="D93" s="35"/>
      <c r="E93" s="24"/>
      <c r="F93" s="35"/>
      <c r="G93" s="24"/>
      <c r="H93" s="35"/>
      <c r="I93" s="35">
        <f t="shared" si="17"/>
        <v>0</v>
      </c>
      <c r="J93" s="35"/>
      <c r="K93" s="24"/>
      <c r="L93" s="35"/>
      <c r="M93" s="24"/>
      <c r="N93" s="35"/>
      <c r="O93" s="24"/>
      <c r="P93" s="35"/>
      <c r="Q93" s="24">
        <v>0</v>
      </c>
      <c r="R93" s="35"/>
      <c r="S93" s="24"/>
      <c r="T93" s="35"/>
      <c r="U93" s="35">
        <f t="shared" si="18"/>
        <v>0</v>
      </c>
      <c r="V93" s="35"/>
      <c r="W93" s="35">
        <f t="shared" si="11"/>
        <v>0</v>
      </c>
      <c r="X93" s="35"/>
      <c r="Y93" s="81" t="s">
        <v>79</v>
      </c>
      <c r="Z93" s="35"/>
      <c r="AA93" s="24"/>
      <c r="AB93" s="17"/>
      <c r="AC93" s="24"/>
      <c r="AD93" s="17"/>
      <c r="AE93" s="24"/>
      <c r="AF93" s="17"/>
      <c r="AG93" s="35">
        <f t="shared" si="12"/>
        <v>0</v>
      </c>
      <c r="AH93" s="40"/>
      <c r="AI93" s="24"/>
      <c r="AJ93" s="40"/>
      <c r="AK93" s="24"/>
      <c r="AL93" s="17"/>
      <c r="AM93" s="24"/>
      <c r="AN93" s="17"/>
      <c r="AO93" s="24"/>
      <c r="AP93" s="17"/>
      <c r="AQ93" s="35">
        <f t="shared" si="15"/>
        <v>0</v>
      </c>
      <c r="AR93" s="40"/>
      <c r="AS93" s="17">
        <v>0</v>
      </c>
      <c r="AT93" s="17"/>
      <c r="AU93" s="17">
        <v>0</v>
      </c>
      <c r="AV93" s="17"/>
      <c r="AW93" s="35">
        <f t="shared" si="13"/>
        <v>0</v>
      </c>
      <c r="AX93" s="35"/>
      <c r="AY93" s="81" t="s">
        <v>79</v>
      </c>
      <c r="AZ93" s="35"/>
      <c r="BA93" s="24"/>
      <c r="BB93" s="17"/>
      <c r="BC93" s="24"/>
      <c r="BD93" s="17"/>
      <c r="BE93" s="24"/>
      <c r="BF93" s="17"/>
      <c r="BG93" s="24"/>
      <c r="BH93" s="17"/>
      <c r="BI93" s="17"/>
      <c r="BJ93" s="17"/>
      <c r="BK93" s="35">
        <f t="shared" si="14"/>
        <v>0</v>
      </c>
      <c r="BL93" s="79"/>
    </row>
    <row r="94" spans="1:64" ht="12.75">
      <c r="A94" s="77" t="s">
        <v>80</v>
      </c>
      <c r="B94" s="77"/>
      <c r="C94" s="35">
        <f>+G94-E94</f>
        <v>10312488</v>
      </c>
      <c r="D94" s="35"/>
      <c r="E94" s="24">
        <v>109109350</v>
      </c>
      <c r="F94" s="35"/>
      <c r="G94" s="24">
        <v>119421838</v>
      </c>
      <c r="H94" s="35"/>
      <c r="I94" s="35">
        <f t="shared" si="17"/>
        <v>2891119</v>
      </c>
      <c r="J94" s="35"/>
      <c r="K94" s="24">
        <v>8633605</v>
      </c>
      <c r="L94" s="35"/>
      <c r="M94" s="24">
        <v>11524724</v>
      </c>
      <c r="N94" s="35"/>
      <c r="O94" s="24">
        <v>99229631</v>
      </c>
      <c r="P94" s="35"/>
      <c r="Q94" s="24">
        <v>0</v>
      </c>
      <c r="R94" s="35"/>
      <c r="S94" s="24">
        <v>8667483</v>
      </c>
      <c r="T94" s="35"/>
      <c r="U94" s="35">
        <f t="shared" si="18"/>
        <v>107897114</v>
      </c>
      <c r="V94" s="35"/>
      <c r="W94" s="35">
        <f aca="true" t="shared" si="19" ref="W94:W99">+G94-M94-U94</f>
        <v>0</v>
      </c>
      <c r="X94" s="35"/>
      <c r="Y94" s="81" t="s">
        <v>80</v>
      </c>
      <c r="Z94" s="35"/>
      <c r="AA94" s="24">
        <v>7606032</v>
      </c>
      <c r="AB94" s="17"/>
      <c r="AC94" s="24">
        <f>10376859-3503083</f>
        <v>6873776</v>
      </c>
      <c r="AD94" s="17"/>
      <c r="AE94" s="24">
        <v>3503083</v>
      </c>
      <c r="AF94" s="17"/>
      <c r="AG94" s="35">
        <f aca="true" t="shared" si="20" ref="AG94:AG99">+AA94-AC94-AE94</f>
        <v>-2770827</v>
      </c>
      <c r="AH94" s="40"/>
      <c r="AI94" s="24">
        <v>-292710</v>
      </c>
      <c r="AJ94" s="40"/>
      <c r="AK94" s="24">
        <v>0</v>
      </c>
      <c r="AL94" s="17"/>
      <c r="AM94" s="24">
        <v>0</v>
      </c>
      <c r="AN94" s="17"/>
      <c r="AO94" s="24">
        <f>846579+368931</f>
        <v>1215510</v>
      </c>
      <c r="AP94" s="17"/>
      <c r="AQ94" s="35">
        <f>+AO94+AK94-AM94+AI94+AG94</f>
        <v>-1848027</v>
      </c>
      <c r="AR94" s="40"/>
      <c r="AS94" s="17">
        <v>0</v>
      </c>
      <c r="AT94" s="17"/>
      <c r="AU94" s="17">
        <v>0</v>
      </c>
      <c r="AV94" s="17"/>
      <c r="AW94" s="35">
        <f aca="true" t="shared" si="21" ref="AW94:AW99">+C94-I94</f>
        <v>7421369</v>
      </c>
      <c r="AX94" s="17"/>
      <c r="AY94" s="81" t="s">
        <v>80</v>
      </c>
      <c r="AZ94" s="17"/>
      <c r="BA94" s="24">
        <v>0</v>
      </c>
      <c r="BB94" s="17"/>
      <c r="BC94" s="24">
        <v>0</v>
      </c>
      <c r="BD94" s="17"/>
      <c r="BE94" s="24">
        <v>8481779</v>
      </c>
      <c r="BF94" s="17"/>
      <c r="BG94" s="24">
        <v>151826</v>
      </c>
      <c r="BH94" s="17"/>
      <c r="BI94" s="17"/>
      <c r="BJ94" s="17"/>
      <c r="BK94" s="35">
        <f aca="true" t="shared" si="22" ref="BK94:BK99">SUM(BA94:BI94)</f>
        <v>8633605</v>
      </c>
      <c r="BL94" s="79"/>
    </row>
    <row r="95" spans="1:68" ht="12.75">
      <c r="A95" s="77" t="s">
        <v>81</v>
      </c>
      <c r="B95" s="77"/>
      <c r="C95" s="35">
        <f t="shared" si="16"/>
        <v>1239892</v>
      </c>
      <c r="D95" s="35"/>
      <c r="E95" s="24">
        <f>1965139+5297428</f>
        <v>7262567</v>
      </c>
      <c r="F95" s="35"/>
      <c r="G95" s="24">
        <v>8502459</v>
      </c>
      <c r="H95" s="35"/>
      <c r="I95" s="35">
        <f t="shared" si="17"/>
        <v>1005334</v>
      </c>
      <c r="J95" s="35"/>
      <c r="K95" s="24">
        <v>2908599</v>
      </c>
      <c r="L95" s="35"/>
      <c r="M95" s="24">
        <v>3913933</v>
      </c>
      <c r="N95" s="35"/>
      <c r="O95" s="24">
        <v>4297963</v>
      </c>
      <c r="P95" s="35"/>
      <c r="Q95" s="24">
        <v>0</v>
      </c>
      <c r="R95" s="35"/>
      <c r="S95" s="24">
        <v>290563</v>
      </c>
      <c r="T95" s="35"/>
      <c r="U95" s="35">
        <f t="shared" si="18"/>
        <v>4588526</v>
      </c>
      <c r="V95" s="35"/>
      <c r="W95" s="35">
        <f t="shared" si="19"/>
        <v>0</v>
      </c>
      <c r="X95" s="35"/>
      <c r="Y95" s="81" t="s">
        <v>81</v>
      </c>
      <c r="Z95" s="35"/>
      <c r="AA95" s="24">
        <v>650893</v>
      </c>
      <c r="AB95" s="17"/>
      <c r="AC95" s="24">
        <f>1004875-204471</f>
        <v>800404</v>
      </c>
      <c r="AD95" s="17"/>
      <c r="AE95" s="24">
        <v>204471</v>
      </c>
      <c r="AF95" s="17"/>
      <c r="AG95" s="35">
        <f t="shared" si="20"/>
        <v>-353982</v>
      </c>
      <c r="AH95" s="40"/>
      <c r="AI95" s="24">
        <v>131217</v>
      </c>
      <c r="AJ95" s="40"/>
      <c r="AK95" s="24">
        <v>0</v>
      </c>
      <c r="AL95" s="17"/>
      <c r="AM95" s="24">
        <v>0</v>
      </c>
      <c r="AN95" s="17"/>
      <c r="AO95" s="24">
        <v>0</v>
      </c>
      <c r="AP95" s="17"/>
      <c r="AQ95" s="35">
        <f>+AO95+AK95-AM95+AI95+AG95</f>
        <v>-222765</v>
      </c>
      <c r="AR95" s="40"/>
      <c r="AS95" s="17">
        <v>0</v>
      </c>
      <c r="AT95" s="17"/>
      <c r="AU95" s="17">
        <v>0</v>
      </c>
      <c r="AV95" s="17"/>
      <c r="AW95" s="35">
        <f>+C95-I95</f>
        <v>234558</v>
      </c>
      <c r="AX95" s="35"/>
      <c r="AY95" s="81" t="s">
        <v>81</v>
      </c>
      <c r="AZ95" s="35"/>
      <c r="BA95" s="24">
        <v>0</v>
      </c>
      <c r="BB95" s="17"/>
      <c r="BC95" s="24">
        <v>0</v>
      </c>
      <c r="BD95" s="17"/>
      <c r="BE95" s="24">
        <f>2040706+136881+730000</f>
        <v>2907587</v>
      </c>
      <c r="BF95" s="17"/>
      <c r="BG95" s="24">
        <v>1012</v>
      </c>
      <c r="BH95" s="17"/>
      <c r="BI95" s="17"/>
      <c r="BJ95" s="17"/>
      <c r="BK95" s="35">
        <f t="shared" si="22"/>
        <v>2908599</v>
      </c>
      <c r="BL95" s="79"/>
      <c r="BM95" s="79"/>
      <c r="BN95" s="79"/>
      <c r="BO95" s="79"/>
      <c r="BP95" s="79"/>
    </row>
    <row r="96" spans="1:64" ht="12.75">
      <c r="A96" s="77" t="s">
        <v>82</v>
      </c>
      <c r="B96" s="77"/>
      <c r="C96" s="35">
        <f t="shared" si="16"/>
        <v>787821</v>
      </c>
      <c r="D96" s="35"/>
      <c r="E96" s="24">
        <v>13576892</v>
      </c>
      <c r="F96" s="35"/>
      <c r="G96" s="24">
        <v>14364713</v>
      </c>
      <c r="H96" s="35"/>
      <c r="I96" s="35">
        <f t="shared" si="17"/>
        <v>478465</v>
      </c>
      <c r="J96" s="35"/>
      <c r="K96" s="24">
        <v>4856758</v>
      </c>
      <c r="L96" s="35"/>
      <c r="M96" s="24">
        <v>5335223</v>
      </c>
      <c r="N96" s="35"/>
      <c r="O96" s="24">
        <v>8622585</v>
      </c>
      <c r="P96" s="35"/>
      <c r="Q96" s="24">
        <v>0</v>
      </c>
      <c r="R96" s="35"/>
      <c r="S96" s="24">
        <v>406905</v>
      </c>
      <c r="T96" s="35"/>
      <c r="U96" s="35">
        <f t="shared" si="18"/>
        <v>9029490</v>
      </c>
      <c r="V96" s="35"/>
      <c r="W96" s="35">
        <f t="shared" si="19"/>
        <v>0</v>
      </c>
      <c r="X96" s="35"/>
      <c r="Y96" s="81" t="s">
        <v>82</v>
      </c>
      <c r="Z96" s="35"/>
      <c r="AA96" s="24">
        <v>802711</v>
      </c>
      <c r="AB96" s="17"/>
      <c r="AC96" s="24">
        <f>1215430-305989</f>
        <v>909441</v>
      </c>
      <c r="AD96" s="17"/>
      <c r="AE96" s="24">
        <v>305989</v>
      </c>
      <c r="AF96" s="17"/>
      <c r="AG96" s="35">
        <f t="shared" si="20"/>
        <v>-412719</v>
      </c>
      <c r="AH96" s="40"/>
      <c r="AI96" s="24">
        <v>1080748</v>
      </c>
      <c r="AJ96" s="40"/>
      <c r="AK96" s="24">
        <v>0</v>
      </c>
      <c r="AL96" s="17"/>
      <c r="AM96" s="24">
        <v>0</v>
      </c>
      <c r="AN96" s="17"/>
      <c r="AO96" s="24">
        <v>0</v>
      </c>
      <c r="AP96" s="17"/>
      <c r="AQ96" s="35">
        <f>+AO96+AK96-AM96+AI96+AG96</f>
        <v>668029</v>
      </c>
      <c r="AR96" s="40"/>
      <c r="AS96" s="17">
        <v>0</v>
      </c>
      <c r="AT96" s="17"/>
      <c r="AU96" s="17">
        <v>0</v>
      </c>
      <c r="AV96" s="17"/>
      <c r="AW96" s="35">
        <f t="shared" si="21"/>
        <v>309356</v>
      </c>
      <c r="AX96" s="17"/>
      <c r="AY96" s="81" t="s">
        <v>82</v>
      </c>
      <c r="AZ96" s="17"/>
      <c r="BA96" s="24">
        <v>0</v>
      </c>
      <c r="BB96" s="17"/>
      <c r="BC96" s="24">
        <v>814000</v>
      </c>
      <c r="BD96" s="17"/>
      <c r="BE96" s="24">
        <f>1130909+966000</f>
        <v>2096909</v>
      </c>
      <c r="BF96" s="17"/>
      <c r="BG96" s="24">
        <f>205000+1705000+35849</f>
        <v>1945849</v>
      </c>
      <c r="BH96" s="17"/>
      <c r="BI96" s="17"/>
      <c r="BJ96" s="17"/>
      <c r="BK96" s="35">
        <f t="shared" si="22"/>
        <v>4856758</v>
      </c>
      <c r="BL96" s="79"/>
    </row>
    <row r="97" spans="1:64" ht="12.75" customHeight="1" hidden="1">
      <c r="A97" s="77" t="s">
        <v>173</v>
      </c>
      <c r="B97" s="77"/>
      <c r="C97" s="35">
        <f t="shared" si="16"/>
        <v>0</v>
      </c>
      <c r="D97" s="35"/>
      <c r="E97" s="35">
        <v>0</v>
      </c>
      <c r="F97" s="35"/>
      <c r="G97" s="35">
        <v>0</v>
      </c>
      <c r="H97" s="35"/>
      <c r="I97" s="35">
        <f t="shared" si="17"/>
        <v>0</v>
      </c>
      <c r="J97" s="35"/>
      <c r="K97" s="35">
        <f>SUM(BK97)</f>
        <v>0</v>
      </c>
      <c r="L97" s="35"/>
      <c r="M97" s="35">
        <v>0</v>
      </c>
      <c r="N97" s="35"/>
      <c r="O97" s="35">
        <v>0</v>
      </c>
      <c r="P97" s="35"/>
      <c r="Q97" s="35">
        <v>0</v>
      </c>
      <c r="R97" s="35"/>
      <c r="S97" s="35">
        <v>0</v>
      </c>
      <c r="T97" s="35"/>
      <c r="U97" s="35">
        <f t="shared" si="18"/>
        <v>0</v>
      </c>
      <c r="V97" s="35"/>
      <c r="W97" s="35">
        <f t="shared" si="19"/>
        <v>0</v>
      </c>
      <c r="X97" s="35"/>
      <c r="Y97" s="77" t="s">
        <v>173</v>
      </c>
      <c r="Z97" s="35"/>
      <c r="AA97" s="35">
        <v>0</v>
      </c>
      <c r="AB97" s="17"/>
      <c r="AC97" s="35">
        <v>0</v>
      </c>
      <c r="AD97" s="17"/>
      <c r="AE97" s="35">
        <v>0</v>
      </c>
      <c r="AF97" s="17"/>
      <c r="AG97" s="35">
        <f t="shared" si="20"/>
        <v>0</v>
      </c>
      <c r="AH97" s="40"/>
      <c r="AI97" s="35">
        <v>0</v>
      </c>
      <c r="AJ97" s="40"/>
      <c r="AK97" s="35">
        <v>0</v>
      </c>
      <c r="AL97" s="17"/>
      <c r="AM97" s="35">
        <v>0</v>
      </c>
      <c r="AN97" s="17"/>
      <c r="AO97" s="35">
        <v>0</v>
      </c>
      <c r="AP97" s="17"/>
      <c r="AQ97" s="35">
        <f>+AO97+AK97-AM97+AI97+AG97</f>
        <v>0</v>
      </c>
      <c r="AR97" s="40"/>
      <c r="AS97" s="17">
        <v>0</v>
      </c>
      <c r="AT97" s="17"/>
      <c r="AU97" s="17">
        <v>0</v>
      </c>
      <c r="AV97" s="17"/>
      <c r="AW97" s="35">
        <f t="shared" si="21"/>
        <v>0</v>
      </c>
      <c r="AX97" s="35"/>
      <c r="AY97" s="77" t="s">
        <v>173</v>
      </c>
      <c r="AZ97" s="35"/>
      <c r="BA97" s="35">
        <v>0</v>
      </c>
      <c r="BB97" s="17"/>
      <c r="BC97" s="35">
        <v>0</v>
      </c>
      <c r="BD97" s="17"/>
      <c r="BE97" s="35">
        <v>0</v>
      </c>
      <c r="BF97" s="17"/>
      <c r="BG97" s="35">
        <v>0</v>
      </c>
      <c r="BH97" s="17"/>
      <c r="BI97" s="17"/>
      <c r="BJ97" s="17"/>
      <c r="BK97" s="35">
        <f t="shared" si="22"/>
        <v>0</v>
      </c>
      <c r="BL97" s="79"/>
    </row>
    <row r="98" spans="1:64" ht="12.75" customHeight="1" hidden="1">
      <c r="A98" s="77" t="s">
        <v>83</v>
      </c>
      <c r="B98" s="77"/>
      <c r="C98" s="35">
        <f t="shared" si="16"/>
        <v>0</v>
      </c>
      <c r="D98" s="35"/>
      <c r="E98" s="35">
        <v>0</v>
      </c>
      <c r="F98" s="35"/>
      <c r="G98" s="35">
        <v>0</v>
      </c>
      <c r="H98" s="35"/>
      <c r="I98" s="35">
        <f t="shared" si="17"/>
        <v>0</v>
      </c>
      <c r="J98" s="35"/>
      <c r="K98" s="35">
        <f>SUM(BK98)</f>
        <v>0</v>
      </c>
      <c r="L98" s="35"/>
      <c r="M98" s="35">
        <v>0</v>
      </c>
      <c r="N98" s="35"/>
      <c r="O98" s="35">
        <v>0</v>
      </c>
      <c r="P98" s="35"/>
      <c r="Q98" s="35">
        <v>0</v>
      </c>
      <c r="R98" s="35"/>
      <c r="S98" s="35">
        <v>0</v>
      </c>
      <c r="T98" s="35"/>
      <c r="U98" s="35">
        <f t="shared" si="18"/>
        <v>0</v>
      </c>
      <c r="V98" s="35"/>
      <c r="W98" s="35">
        <f t="shared" si="19"/>
        <v>0</v>
      </c>
      <c r="X98" s="35"/>
      <c r="Y98" s="77" t="s">
        <v>83</v>
      </c>
      <c r="Z98" s="35"/>
      <c r="AA98" s="35">
        <v>0</v>
      </c>
      <c r="AB98" s="17"/>
      <c r="AC98" s="35">
        <v>0</v>
      </c>
      <c r="AD98" s="17"/>
      <c r="AE98" s="35">
        <v>0</v>
      </c>
      <c r="AF98" s="17"/>
      <c r="AG98" s="35">
        <f t="shared" si="20"/>
        <v>0</v>
      </c>
      <c r="AH98" s="40"/>
      <c r="AI98" s="35">
        <v>0</v>
      </c>
      <c r="AJ98" s="40"/>
      <c r="AK98" s="35">
        <v>0</v>
      </c>
      <c r="AL98" s="17"/>
      <c r="AM98" s="35">
        <v>0</v>
      </c>
      <c r="AN98" s="17"/>
      <c r="AO98" s="35">
        <v>0</v>
      </c>
      <c r="AP98" s="17"/>
      <c r="AQ98" s="35">
        <f>+AO98+AK98-AM98+AI98+AG98</f>
        <v>0</v>
      </c>
      <c r="AR98" s="40"/>
      <c r="AS98" s="17">
        <v>0</v>
      </c>
      <c r="AT98" s="17"/>
      <c r="AU98" s="17">
        <v>0</v>
      </c>
      <c r="AV98" s="17"/>
      <c r="AW98" s="35">
        <f t="shared" si="21"/>
        <v>0</v>
      </c>
      <c r="AX98" s="35"/>
      <c r="AY98" s="77" t="s">
        <v>83</v>
      </c>
      <c r="AZ98" s="35"/>
      <c r="BA98" s="35">
        <v>0</v>
      </c>
      <c r="BB98" s="17"/>
      <c r="BC98" s="35">
        <v>0</v>
      </c>
      <c r="BD98" s="17"/>
      <c r="BE98" s="35">
        <v>0</v>
      </c>
      <c r="BF98" s="17"/>
      <c r="BG98" s="35">
        <v>0</v>
      </c>
      <c r="BH98" s="17"/>
      <c r="BI98" s="17"/>
      <c r="BJ98" s="17"/>
      <c r="BK98" s="35">
        <f t="shared" si="22"/>
        <v>0</v>
      </c>
      <c r="BL98" s="79"/>
    </row>
    <row r="99" spans="1:64" ht="12.75" customHeight="1" hidden="1">
      <c r="A99" s="77" t="s">
        <v>174</v>
      </c>
      <c r="B99" s="77"/>
      <c r="C99" s="35">
        <f>G99-E99</f>
        <v>0</v>
      </c>
      <c r="D99" s="35"/>
      <c r="E99" s="35">
        <v>0</v>
      </c>
      <c r="F99" s="35"/>
      <c r="G99" s="35">
        <v>0</v>
      </c>
      <c r="H99" s="35"/>
      <c r="I99" s="35">
        <f>M99-K99</f>
        <v>0</v>
      </c>
      <c r="J99" s="35"/>
      <c r="K99" s="35">
        <f>SUM(BK99)</f>
        <v>0</v>
      </c>
      <c r="L99" s="35"/>
      <c r="M99" s="35">
        <v>0</v>
      </c>
      <c r="N99" s="35"/>
      <c r="O99" s="35">
        <v>0</v>
      </c>
      <c r="P99" s="35"/>
      <c r="Q99" s="35">
        <v>0</v>
      </c>
      <c r="R99" s="35"/>
      <c r="S99" s="35">
        <v>0</v>
      </c>
      <c r="T99" s="35"/>
      <c r="U99" s="35">
        <f>SUM(O99:S99)</f>
        <v>0</v>
      </c>
      <c r="V99" s="35"/>
      <c r="W99" s="35">
        <f t="shared" si="19"/>
        <v>0</v>
      </c>
      <c r="X99" s="35"/>
      <c r="Y99" s="77" t="s">
        <v>174</v>
      </c>
      <c r="Z99" s="35"/>
      <c r="AA99" s="35">
        <v>0</v>
      </c>
      <c r="AB99" s="17"/>
      <c r="AC99" s="35">
        <v>0</v>
      </c>
      <c r="AD99" s="17"/>
      <c r="AE99" s="35">
        <v>0</v>
      </c>
      <c r="AF99" s="17"/>
      <c r="AG99" s="35">
        <f t="shared" si="20"/>
        <v>0</v>
      </c>
      <c r="AH99" s="40"/>
      <c r="AI99" s="35">
        <v>0</v>
      </c>
      <c r="AJ99" s="40"/>
      <c r="AK99" s="35">
        <v>0</v>
      </c>
      <c r="AL99" s="17"/>
      <c r="AM99" s="35">
        <v>0</v>
      </c>
      <c r="AN99" s="17"/>
      <c r="AO99" s="35">
        <v>0</v>
      </c>
      <c r="AP99" s="17"/>
      <c r="AQ99" s="35">
        <f>+AG99+AI99+AK99-AM99+AO99</f>
        <v>0</v>
      </c>
      <c r="AR99" s="40"/>
      <c r="AS99" s="17">
        <v>0</v>
      </c>
      <c r="AT99" s="17"/>
      <c r="AU99" s="17">
        <v>0</v>
      </c>
      <c r="AV99" s="17"/>
      <c r="AW99" s="35">
        <f t="shared" si="21"/>
        <v>0</v>
      </c>
      <c r="AX99" s="35"/>
      <c r="AY99" s="77" t="s">
        <v>174</v>
      </c>
      <c r="AZ99" s="35"/>
      <c r="BA99" s="35">
        <v>0</v>
      </c>
      <c r="BB99" s="17"/>
      <c r="BC99" s="35">
        <v>0</v>
      </c>
      <c r="BD99" s="17"/>
      <c r="BE99" s="35">
        <v>0</v>
      </c>
      <c r="BF99" s="17"/>
      <c r="BG99" s="35">
        <v>0</v>
      </c>
      <c r="BH99" s="17"/>
      <c r="BI99" s="17"/>
      <c r="BJ99" s="17"/>
      <c r="BK99" s="35">
        <f t="shared" si="22"/>
        <v>0</v>
      </c>
      <c r="BL99" s="79"/>
    </row>
    <row r="100" spans="1:64" ht="12.75">
      <c r="A100" s="77"/>
      <c r="B100" s="77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77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77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79"/>
    </row>
    <row r="101" spans="1:64" ht="12.75">
      <c r="A101" s="77"/>
      <c r="B101" s="7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7"/>
      <c r="Z101" s="69"/>
      <c r="AA101" s="69"/>
      <c r="AB101" s="69"/>
      <c r="AC101" s="84"/>
      <c r="AD101" s="84"/>
      <c r="AE101" s="84"/>
      <c r="AF101" s="84"/>
      <c r="AG101" s="69"/>
      <c r="AH101" s="85"/>
      <c r="AI101" s="85"/>
      <c r="AJ101" s="85"/>
      <c r="AK101" s="85"/>
      <c r="AL101" s="85"/>
      <c r="AM101" s="85"/>
      <c r="AN101" s="85"/>
      <c r="AO101" s="79"/>
      <c r="AP101" s="79"/>
      <c r="AQ101" s="69"/>
      <c r="AR101" s="79"/>
      <c r="AS101" s="79"/>
      <c r="AT101" s="79"/>
      <c r="AU101" s="79"/>
      <c r="AV101" s="79"/>
      <c r="AW101" s="69"/>
      <c r="AX101" s="79"/>
      <c r="AY101" s="77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69"/>
      <c r="BL101" s="79"/>
    </row>
    <row r="102" spans="1:64" ht="12.75">
      <c r="A102" s="77"/>
      <c r="B102" s="7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84"/>
      <c r="AD102" s="84"/>
      <c r="AE102" s="84"/>
      <c r="AF102" s="84"/>
      <c r="AG102" s="69"/>
      <c r="AH102" s="85"/>
      <c r="AI102" s="85"/>
      <c r="AJ102" s="85"/>
      <c r="AK102" s="85"/>
      <c r="AL102" s="85"/>
      <c r="AM102" s="85"/>
      <c r="AN102" s="85"/>
      <c r="AO102" s="79"/>
      <c r="AP102" s="79"/>
      <c r="AQ102" s="69"/>
      <c r="AR102" s="79"/>
      <c r="AS102" s="79"/>
      <c r="AT102" s="79"/>
      <c r="AU102" s="79"/>
      <c r="AV102" s="79"/>
      <c r="AW102" s="69"/>
      <c r="AX102" s="79"/>
      <c r="AY102" s="6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69"/>
      <c r="BL102" s="79"/>
    </row>
    <row r="103" spans="1:64" ht="12.75">
      <c r="A103" s="77"/>
      <c r="B103" s="7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84"/>
      <c r="AD103" s="84"/>
      <c r="AE103" s="84"/>
      <c r="AF103" s="84"/>
      <c r="AG103" s="69"/>
      <c r="AH103" s="85"/>
      <c r="AI103" s="85"/>
      <c r="AJ103" s="85"/>
      <c r="AK103" s="85"/>
      <c r="AL103" s="85"/>
      <c r="AM103" s="85"/>
      <c r="AN103" s="85"/>
      <c r="AO103" s="79"/>
      <c r="AP103" s="79"/>
      <c r="AQ103" s="69"/>
      <c r="AR103" s="79"/>
      <c r="AS103" s="79"/>
      <c r="AT103" s="79"/>
      <c r="AU103" s="79"/>
      <c r="AV103" s="79"/>
      <c r="AW103" s="69"/>
      <c r="AX103" s="79"/>
      <c r="AY103" s="6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69"/>
      <c r="BL103" s="79"/>
    </row>
    <row r="104" spans="1:64" ht="12.75">
      <c r="A104" s="77"/>
      <c r="B104" s="7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84"/>
      <c r="AD104" s="84"/>
      <c r="AE104" s="84"/>
      <c r="AF104" s="84"/>
      <c r="AG104" s="69"/>
      <c r="AH104" s="85"/>
      <c r="AI104" s="85"/>
      <c r="AJ104" s="85"/>
      <c r="AK104" s="85"/>
      <c r="AL104" s="85"/>
      <c r="AM104" s="85"/>
      <c r="AN104" s="85"/>
      <c r="AO104" s="79"/>
      <c r="AP104" s="79"/>
      <c r="AQ104" s="69"/>
      <c r="AR104" s="79"/>
      <c r="AS104" s="79"/>
      <c r="AT104" s="79"/>
      <c r="AU104" s="79"/>
      <c r="AV104" s="79"/>
      <c r="AW104" s="69"/>
      <c r="AX104" s="79"/>
      <c r="AY104" s="6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69"/>
      <c r="BL104" s="79"/>
    </row>
    <row r="105" spans="1:64" ht="12.75">
      <c r="A105" s="77"/>
      <c r="B105" s="7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84"/>
      <c r="AD105" s="84"/>
      <c r="AE105" s="84"/>
      <c r="AF105" s="84"/>
      <c r="AG105" s="69"/>
      <c r="AH105" s="85"/>
      <c r="AI105" s="85"/>
      <c r="AJ105" s="85"/>
      <c r="AK105" s="85"/>
      <c r="AL105" s="85"/>
      <c r="AM105" s="85"/>
      <c r="AN105" s="85"/>
      <c r="AO105" s="79"/>
      <c r="AP105" s="79"/>
      <c r="AQ105" s="69"/>
      <c r="AR105" s="79"/>
      <c r="AS105" s="79"/>
      <c r="AT105" s="79"/>
      <c r="AU105" s="79"/>
      <c r="AV105" s="79"/>
      <c r="AW105" s="69"/>
      <c r="AX105" s="79"/>
      <c r="AY105" s="6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69"/>
      <c r="BL105" s="79"/>
    </row>
    <row r="106" spans="1:64" ht="12.75">
      <c r="A106" s="77"/>
      <c r="B106" s="7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84"/>
      <c r="AD106" s="84"/>
      <c r="AE106" s="84"/>
      <c r="AF106" s="84"/>
      <c r="AG106" s="69"/>
      <c r="AH106" s="85"/>
      <c r="AI106" s="85"/>
      <c r="AJ106" s="85"/>
      <c r="AK106" s="85"/>
      <c r="AL106" s="85"/>
      <c r="AM106" s="85"/>
      <c r="AN106" s="85"/>
      <c r="AO106" s="79"/>
      <c r="AP106" s="79"/>
      <c r="AQ106" s="69"/>
      <c r="AR106" s="79"/>
      <c r="AS106" s="79"/>
      <c r="AT106" s="79"/>
      <c r="AU106" s="79"/>
      <c r="AV106" s="79"/>
      <c r="AW106" s="69"/>
      <c r="AX106" s="79"/>
      <c r="AY106" s="6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69"/>
      <c r="BL106" s="79"/>
    </row>
    <row r="107" spans="1:64" ht="12.75">
      <c r="A107" s="77"/>
      <c r="B107" s="7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84"/>
      <c r="AD107" s="84"/>
      <c r="AE107" s="84"/>
      <c r="AF107" s="84"/>
      <c r="AG107" s="69"/>
      <c r="AH107" s="85"/>
      <c r="AI107" s="85"/>
      <c r="AJ107" s="85"/>
      <c r="AK107" s="85"/>
      <c r="AL107" s="85"/>
      <c r="AM107" s="85"/>
      <c r="AN107" s="85"/>
      <c r="AO107" s="79"/>
      <c r="AP107" s="79"/>
      <c r="AQ107" s="69"/>
      <c r="AR107" s="79"/>
      <c r="AS107" s="79"/>
      <c r="AT107" s="79"/>
      <c r="AU107" s="79"/>
      <c r="AV107" s="79"/>
      <c r="AW107" s="69"/>
      <c r="AX107" s="79"/>
      <c r="AY107" s="6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69"/>
      <c r="BL107" s="79"/>
    </row>
    <row r="108" spans="1:64" ht="12.75">
      <c r="A108" s="77"/>
      <c r="B108" s="7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84"/>
      <c r="AD108" s="84"/>
      <c r="AE108" s="84"/>
      <c r="AF108" s="84"/>
      <c r="AG108" s="69"/>
      <c r="AH108" s="85"/>
      <c r="AI108" s="85"/>
      <c r="AJ108" s="85"/>
      <c r="AK108" s="85"/>
      <c r="AL108" s="85"/>
      <c r="AM108" s="85"/>
      <c r="AN108" s="85"/>
      <c r="AO108" s="79"/>
      <c r="AP108" s="79"/>
      <c r="AQ108" s="69"/>
      <c r="AR108" s="79"/>
      <c r="AS108" s="79"/>
      <c r="AT108" s="79"/>
      <c r="AU108" s="79"/>
      <c r="AV108" s="79"/>
      <c r="AW108" s="69"/>
      <c r="AX108" s="79"/>
      <c r="AY108" s="6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69"/>
      <c r="BL108" s="79"/>
    </row>
    <row r="109" spans="1:64" ht="12.75">
      <c r="A109" s="77"/>
      <c r="B109" s="7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84"/>
      <c r="AD109" s="84"/>
      <c r="AE109" s="84"/>
      <c r="AF109" s="84"/>
      <c r="AG109" s="69"/>
      <c r="AH109" s="85"/>
      <c r="AI109" s="85"/>
      <c r="AJ109" s="85"/>
      <c r="AK109" s="85"/>
      <c r="AL109" s="85"/>
      <c r="AM109" s="85"/>
      <c r="AN109" s="85"/>
      <c r="AO109" s="79"/>
      <c r="AP109" s="79"/>
      <c r="AQ109" s="69"/>
      <c r="AR109" s="79"/>
      <c r="AS109" s="79"/>
      <c r="AT109" s="79"/>
      <c r="AU109" s="79"/>
      <c r="AV109" s="79"/>
      <c r="AW109" s="69"/>
      <c r="AX109" s="79"/>
      <c r="AY109" s="6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69"/>
      <c r="BL109" s="79"/>
    </row>
    <row r="110" spans="1:64" ht="12.75">
      <c r="A110" s="77"/>
      <c r="B110" s="7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84"/>
      <c r="AD110" s="84"/>
      <c r="AE110" s="84"/>
      <c r="AF110" s="84"/>
      <c r="AG110" s="69"/>
      <c r="AH110" s="85"/>
      <c r="AI110" s="85"/>
      <c r="AJ110" s="85"/>
      <c r="AK110" s="85"/>
      <c r="AL110" s="85"/>
      <c r="AM110" s="85"/>
      <c r="AN110" s="85"/>
      <c r="AO110" s="79"/>
      <c r="AP110" s="79"/>
      <c r="AQ110" s="69"/>
      <c r="AR110" s="79"/>
      <c r="AS110" s="79"/>
      <c r="AT110" s="79"/>
      <c r="AU110" s="79"/>
      <c r="AV110" s="79"/>
      <c r="AW110" s="69"/>
      <c r="AX110" s="79"/>
      <c r="AY110" s="6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69"/>
      <c r="BL110" s="79"/>
    </row>
    <row r="111" spans="1:64" ht="12.75">
      <c r="A111" s="77"/>
      <c r="B111" s="7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84"/>
      <c r="AD111" s="84"/>
      <c r="AE111" s="84"/>
      <c r="AF111" s="84"/>
      <c r="AG111" s="69"/>
      <c r="AH111" s="85"/>
      <c r="AI111" s="85"/>
      <c r="AJ111" s="85"/>
      <c r="AK111" s="85"/>
      <c r="AL111" s="85"/>
      <c r="AM111" s="85"/>
      <c r="AN111" s="85"/>
      <c r="AO111" s="79"/>
      <c r="AP111" s="79"/>
      <c r="AQ111" s="69"/>
      <c r="AR111" s="79"/>
      <c r="AS111" s="79"/>
      <c r="AT111" s="79"/>
      <c r="AU111" s="79"/>
      <c r="AV111" s="79"/>
      <c r="AW111" s="69"/>
      <c r="AX111" s="79"/>
      <c r="AY111" s="6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69"/>
      <c r="BL111" s="79"/>
    </row>
    <row r="112" spans="1:64" ht="12.75">
      <c r="A112" s="77"/>
      <c r="B112" s="7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84"/>
      <c r="AD112" s="84"/>
      <c r="AE112" s="84"/>
      <c r="AF112" s="84"/>
      <c r="AG112" s="69"/>
      <c r="AH112" s="85"/>
      <c r="AI112" s="85"/>
      <c r="AJ112" s="85"/>
      <c r="AK112" s="85"/>
      <c r="AL112" s="85"/>
      <c r="AM112" s="85"/>
      <c r="AN112" s="85"/>
      <c r="AO112" s="79"/>
      <c r="AP112" s="79"/>
      <c r="AQ112" s="69"/>
      <c r="AR112" s="79"/>
      <c r="AS112" s="79"/>
      <c r="AT112" s="79"/>
      <c r="AU112" s="79"/>
      <c r="AV112" s="79"/>
      <c r="AW112" s="69"/>
      <c r="AX112" s="79"/>
      <c r="AY112" s="6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69"/>
      <c r="BL112" s="79"/>
    </row>
    <row r="113" spans="1:64" ht="12.75">
      <c r="A113" s="77"/>
      <c r="B113" s="7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84"/>
      <c r="AD113" s="84"/>
      <c r="AE113" s="84"/>
      <c r="AF113" s="84"/>
      <c r="AG113" s="69"/>
      <c r="AH113" s="85"/>
      <c r="AI113" s="85"/>
      <c r="AJ113" s="85"/>
      <c r="AK113" s="85"/>
      <c r="AL113" s="85"/>
      <c r="AM113" s="85"/>
      <c r="AN113" s="85"/>
      <c r="AO113" s="79"/>
      <c r="AP113" s="79"/>
      <c r="AQ113" s="69"/>
      <c r="AR113" s="79"/>
      <c r="AS113" s="79"/>
      <c r="AT113" s="79"/>
      <c r="AU113" s="79"/>
      <c r="AV113" s="79"/>
      <c r="AW113" s="69"/>
      <c r="AX113" s="79"/>
      <c r="AY113" s="6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69"/>
      <c r="BL113" s="79"/>
    </row>
    <row r="114" spans="1:64" ht="12.75">
      <c r="A114" s="77"/>
      <c r="B114" s="7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84"/>
      <c r="AD114" s="84"/>
      <c r="AE114" s="84"/>
      <c r="AF114" s="84"/>
      <c r="AG114" s="69"/>
      <c r="AH114" s="85"/>
      <c r="AI114" s="85"/>
      <c r="AJ114" s="85"/>
      <c r="AK114" s="85"/>
      <c r="AL114" s="85"/>
      <c r="AM114" s="85"/>
      <c r="AN114" s="85"/>
      <c r="AO114" s="79"/>
      <c r="AP114" s="79"/>
      <c r="AQ114" s="69"/>
      <c r="AR114" s="79"/>
      <c r="AS114" s="79"/>
      <c r="AT114" s="79"/>
      <c r="AU114" s="79"/>
      <c r="AV114" s="79"/>
      <c r="AW114" s="69"/>
      <c r="AX114" s="79"/>
      <c r="AY114" s="6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69"/>
      <c r="BL114" s="79"/>
    </row>
    <row r="115" spans="1:64" ht="12.75">
      <c r="A115" s="77"/>
      <c r="B115" s="7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84"/>
      <c r="AD115" s="84"/>
      <c r="AE115" s="84"/>
      <c r="AF115" s="84"/>
      <c r="AG115" s="69"/>
      <c r="AH115" s="85"/>
      <c r="AI115" s="85"/>
      <c r="AJ115" s="85"/>
      <c r="AK115" s="85"/>
      <c r="AL115" s="85"/>
      <c r="AM115" s="85"/>
      <c r="AN115" s="85"/>
      <c r="AO115" s="79"/>
      <c r="AP115" s="79"/>
      <c r="AQ115" s="69"/>
      <c r="AR115" s="79"/>
      <c r="AS115" s="79"/>
      <c r="AT115" s="79"/>
      <c r="AU115" s="79"/>
      <c r="AV115" s="79"/>
      <c r="AW115" s="69"/>
      <c r="AX115" s="79"/>
      <c r="AY115" s="6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69"/>
      <c r="BL115" s="79"/>
    </row>
    <row r="116" spans="1:64" ht="12.75">
      <c r="A116" s="77"/>
      <c r="B116" s="7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84"/>
      <c r="AD116" s="84"/>
      <c r="AE116" s="84"/>
      <c r="AF116" s="84"/>
      <c r="AG116" s="69"/>
      <c r="AH116" s="85"/>
      <c r="AI116" s="85"/>
      <c r="AJ116" s="85"/>
      <c r="AK116" s="85"/>
      <c r="AL116" s="85"/>
      <c r="AM116" s="85"/>
      <c r="AN116" s="85"/>
      <c r="AO116" s="79"/>
      <c r="AP116" s="79"/>
      <c r="AQ116" s="69"/>
      <c r="AR116" s="79"/>
      <c r="AS116" s="79"/>
      <c r="AT116" s="79"/>
      <c r="AU116" s="79"/>
      <c r="AV116" s="79"/>
      <c r="AW116" s="69"/>
      <c r="AX116" s="79"/>
      <c r="AY116" s="6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69"/>
      <c r="BL116" s="79"/>
    </row>
    <row r="117" spans="1:64" ht="12.75">
      <c r="A117" s="77"/>
      <c r="B117" s="7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84"/>
      <c r="AD117" s="84"/>
      <c r="AE117" s="84"/>
      <c r="AF117" s="84"/>
      <c r="AG117" s="69"/>
      <c r="AH117" s="85"/>
      <c r="AI117" s="85"/>
      <c r="AJ117" s="85"/>
      <c r="AK117" s="85"/>
      <c r="AL117" s="85"/>
      <c r="AM117" s="85"/>
      <c r="AN117" s="85"/>
      <c r="AO117" s="79"/>
      <c r="AP117" s="79"/>
      <c r="AQ117" s="69"/>
      <c r="AR117" s="79"/>
      <c r="AS117" s="79"/>
      <c r="AT117" s="79"/>
      <c r="AU117" s="79"/>
      <c r="AV117" s="79"/>
      <c r="AW117" s="69"/>
      <c r="AX117" s="79"/>
      <c r="AY117" s="6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69"/>
      <c r="BL117" s="79"/>
    </row>
    <row r="118" spans="1:63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116"/>
      <c r="AI118" s="116"/>
      <c r="AJ118" s="116"/>
      <c r="AK118" s="116"/>
      <c r="AL118" s="116"/>
      <c r="AM118" s="116"/>
      <c r="AN118" s="116"/>
      <c r="AO118" s="77"/>
      <c r="AP118" s="77"/>
      <c r="AQ118" s="77"/>
      <c r="AW118" s="77"/>
      <c r="AY118" s="77"/>
      <c r="BK118" s="77"/>
    </row>
    <row r="119" spans="1:63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116"/>
      <c r="AI119" s="116"/>
      <c r="AJ119" s="116"/>
      <c r="AK119" s="116"/>
      <c r="AL119" s="116"/>
      <c r="AM119" s="116"/>
      <c r="AN119" s="116"/>
      <c r="AO119" s="77"/>
      <c r="AP119" s="77"/>
      <c r="AQ119" s="77"/>
      <c r="AW119" s="77"/>
      <c r="AY119" s="77"/>
      <c r="BK119" s="77"/>
    </row>
    <row r="120" spans="1:63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116"/>
      <c r="AI120" s="116"/>
      <c r="AJ120" s="116"/>
      <c r="AK120" s="116"/>
      <c r="AL120" s="116"/>
      <c r="AM120" s="116"/>
      <c r="AN120" s="116"/>
      <c r="AO120" s="77"/>
      <c r="AP120" s="77"/>
      <c r="AQ120" s="77"/>
      <c r="AW120" s="77"/>
      <c r="AY120" s="77"/>
      <c r="BK120" s="77"/>
    </row>
    <row r="121" spans="1:63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116"/>
      <c r="AI121" s="116"/>
      <c r="AJ121" s="116"/>
      <c r="AK121" s="116"/>
      <c r="AL121" s="116"/>
      <c r="AM121" s="116"/>
      <c r="AN121" s="116"/>
      <c r="AO121" s="77"/>
      <c r="AP121" s="77"/>
      <c r="AQ121" s="77"/>
      <c r="AW121" s="77"/>
      <c r="AY121" s="77"/>
      <c r="BK121" s="77"/>
    </row>
    <row r="122" spans="1:63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116"/>
      <c r="AI122" s="116"/>
      <c r="AJ122" s="116"/>
      <c r="AK122" s="116"/>
      <c r="AL122" s="116"/>
      <c r="AM122" s="116"/>
      <c r="AN122" s="116"/>
      <c r="AO122" s="77"/>
      <c r="AP122" s="77"/>
      <c r="AQ122" s="77"/>
      <c r="AW122" s="77"/>
      <c r="AY122" s="77"/>
      <c r="BK122" s="77"/>
    </row>
    <row r="123" spans="1:63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116"/>
      <c r="AI123" s="116"/>
      <c r="AJ123" s="116"/>
      <c r="AK123" s="116"/>
      <c r="AL123" s="116"/>
      <c r="AM123" s="116"/>
      <c r="AN123" s="116"/>
      <c r="AO123" s="77"/>
      <c r="AP123" s="77"/>
      <c r="AQ123" s="77"/>
      <c r="AW123" s="77"/>
      <c r="AY123" s="77"/>
      <c r="BK123" s="77"/>
    </row>
    <row r="124" spans="1:63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116"/>
      <c r="AI124" s="116"/>
      <c r="AJ124" s="116"/>
      <c r="AK124" s="116"/>
      <c r="AL124" s="116"/>
      <c r="AM124" s="116"/>
      <c r="AN124" s="116"/>
      <c r="AO124" s="77"/>
      <c r="AP124" s="77"/>
      <c r="AQ124" s="77"/>
      <c r="AW124" s="77"/>
      <c r="AY124" s="77"/>
      <c r="BK124" s="77"/>
    </row>
    <row r="125" spans="1:63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116"/>
      <c r="AI125" s="116"/>
      <c r="AJ125" s="116"/>
      <c r="AK125" s="116"/>
      <c r="AL125" s="116"/>
      <c r="AM125" s="116"/>
      <c r="AN125" s="116"/>
      <c r="AO125" s="77"/>
      <c r="AP125" s="77"/>
      <c r="AQ125" s="77"/>
      <c r="AW125" s="77"/>
      <c r="AY125" s="77"/>
      <c r="BK125" s="77"/>
    </row>
    <row r="126" spans="1:63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116"/>
      <c r="AI126" s="116"/>
      <c r="AJ126" s="116"/>
      <c r="AK126" s="116"/>
      <c r="AL126" s="116"/>
      <c r="AM126" s="116"/>
      <c r="AN126" s="116"/>
      <c r="AO126" s="77"/>
      <c r="AP126" s="77"/>
      <c r="AQ126" s="77"/>
      <c r="AW126" s="77"/>
      <c r="AY126" s="77"/>
      <c r="BK126" s="77"/>
    </row>
    <row r="127" spans="1:63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116"/>
      <c r="AI127" s="116"/>
      <c r="AJ127" s="116"/>
      <c r="AK127" s="116"/>
      <c r="AL127" s="116"/>
      <c r="AM127" s="116"/>
      <c r="AN127" s="116"/>
      <c r="AO127" s="77"/>
      <c r="AP127" s="77"/>
      <c r="AQ127" s="77"/>
      <c r="AW127" s="77"/>
      <c r="AY127" s="77"/>
      <c r="BK127" s="77"/>
    </row>
    <row r="128" spans="1:63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116"/>
      <c r="AI128" s="116"/>
      <c r="AJ128" s="116"/>
      <c r="AK128" s="116"/>
      <c r="AL128" s="116"/>
      <c r="AM128" s="116"/>
      <c r="AN128" s="116"/>
      <c r="AO128" s="77"/>
      <c r="AP128" s="77"/>
      <c r="AQ128" s="77"/>
      <c r="AW128" s="77"/>
      <c r="AY128" s="77"/>
      <c r="BK128" s="77"/>
    </row>
    <row r="129" spans="1:63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116"/>
      <c r="AI129" s="116"/>
      <c r="AJ129" s="116"/>
      <c r="AK129" s="116"/>
      <c r="AL129" s="116"/>
      <c r="AM129" s="116"/>
      <c r="AN129" s="116"/>
      <c r="AO129" s="77"/>
      <c r="AP129" s="77"/>
      <c r="AQ129" s="77"/>
      <c r="AW129" s="77"/>
      <c r="AY129" s="77"/>
      <c r="BK129" s="77"/>
    </row>
    <row r="130" spans="1:63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116"/>
      <c r="AI130" s="116"/>
      <c r="AJ130" s="116"/>
      <c r="AK130" s="116"/>
      <c r="AL130" s="116"/>
      <c r="AM130" s="116"/>
      <c r="AN130" s="116"/>
      <c r="AO130" s="77"/>
      <c r="AP130" s="77"/>
      <c r="AQ130" s="77"/>
      <c r="AW130" s="77"/>
      <c r="AY130" s="77"/>
      <c r="BK130" s="77"/>
    </row>
    <row r="131" spans="1:63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116"/>
      <c r="AI131" s="116"/>
      <c r="AJ131" s="116"/>
      <c r="AK131" s="116"/>
      <c r="AL131" s="116"/>
      <c r="AM131" s="116"/>
      <c r="AN131" s="116"/>
      <c r="AO131" s="77"/>
      <c r="AP131" s="77"/>
      <c r="AQ131" s="77"/>
      <c r="AW131" s="77"/>
      <c r="AY131" s="77"/>
      <c r="BK131" s="77"/>
    </row>
    <row r="132" spans="1:63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116"/>
      <c r="AI132" s="116"/>
      <c r="AJ132" s="116"/>
      <c r="AK132" s="116"/>
      <c r="AL132" s="116"/>
      <c r="AM132" s="116"/>
      <c r="AN132" s="116"/>
      <c r="AO132" s="77"/>
      <c r="AP132" s="77"/>
      <c r="AQ132" s="77"/>
      <c r="AW132" s="77"/>
      <c r="AY132" s="77"/>
      <c r="BK132" s="77"/>
    </row>
    <row r="133" spans="1:63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116"/>
      <c r="AI133" s="116"/>
      <c r="AJ133" s="116"/>
      <c r="AK133" s="116"/>
      <c r="AL133" s="116"/>
      <c r="AM133" s="116"/>
      <c r="AN133" s="116"/>
      <c r="AO133" s="77"/>
      <c r="AP133" s="77"/>
      <c r="AQ133" s="77"/>
      <c r="AW133" s="77"/>
      <c r="AY133" s="77"/>
      <c r="BK133" s="77"/>
    </row>
    <row r="134" spans="1:63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116"/>
      <c r="AI134" s="116"/>
      <c r="AJ134" s="116"/>
      <c r="AK134" s="116"/>
      <c r="AL134" s="116"/>
      <c r="AM134" s="116"/>
      <c r="AN134" s="116"/>
      <c r="AO134" s="77"/>
      <c r="AP134" s="77"/>
      <c r="AQ134" s="77"/>
      <c r="AW134" s="77"/>
      <c r="AY134" s="77"/>
      <c r="BK134" s="77"/>
    </row>
  </sheetData>
  <sheetProtection/>
  <printOptions/>
  <pageMargins left="0.75" right="0.75" top="0.4" bottom="0.4" header="0" footer="0.25"/>
  <pageSetup firstPageNumber="46" useFirstPageNumber="1" horizontalDpi="600" verticalDpi="600" orientation="portrait" scale="95" r:id="rId1"/>
  <headerFooter scaleWithDoc="0" alignWithMargins="0">
    <oddFooter>&amp;C&amp;"Times New Roman,Regular"&amp;11&amp;P</oddFooter>
  </headerFooter>
  <colBreaks count="4" manualBreakCount="4">
    <brk id="12" max="94" man="1"/>
    <brk id="22" max="93" man="1"/>
    <brk id="36" max="94" man="1"/>
    <brk id="50" max="9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H111"/>
  <sheetViews>
    <sheetView zoomScale="130" zoomScaleNormal="130" zoomScaleSheetLayoutView="100" zoomScalePageLayoutView="0" workbookViewId="0" topLeftCell="A1">
      <pane xSplit="1" ySplit="9" topLeftCell="B10" activePane="bottomRight" state="frozen"/>
      <selection pane="topLeft" activeCell="AX17" sqref="AX17"/>
      <selection pane="topRight" activeCell="AX17" sqref="AX17"/>
      <selection pane="bottomLeft" activeCell="AX17" sqref="AX17"/>
      <selection pane="bottomRight" activeCell="O98" sqref="O98"/>
    </sheetView>
  </sheetViews>
  <sheetFormatPr defaultColWidth="8.421875" defaultRowHeight="12.75"/>
  <cols>
    <col min="1" max="1" width="15.7109375" style="114" customWidth="1"/>
    <col min="2" max="2" width="1.7109375" style="114" customWidth="1"/>
    <col min="3" max="3" width="11.7109375" style="114" customWidth="1"/>
    <col min="4" max="4" width="1.7109375" style="114" customWidth="1"/>
    <col min="5" max="5" width="11.7109375" style="114" customWidth="1"/>
    <col min="6" max="6" width="1.7109375" style="114" customWidth="1"/>
    <col min="7" max="7" width="11.7109375" style="114" customWidth="1"/>
    <col min="8" max="8" width="1.7109375" style="114" customWidth="1"/>
    <col min="9" max="9" width="11.7109375" style="114" customWidth="1"/>
    <col min="10" max="10" width="1.7109375" style="114" customWidth="1"/>
    <col min="11" max="11" width="11.7109375" style="114" customWidth="1"/>
    <col min="12" max="12" width="1.7109375" style="114" hidden="1" customWidth="1"/>
    <col min="13" max="13" width="11.7109375" style="114" customWidth="1"/>
    <col min="14" max="14" width="1.7109375" style="114" customWidth="1"/>
    <col min="15" max="15" width="11.7109375" style="114" customWidth="1"/>
    <col min="16" max="16" width="1.7109375" style="114" customWidth="1"/>
    <col min="17" max="17" width="11.7109375" style="114" customWidth="1"/>
    <col min="18" max="18" width="1.7109375" style="114" customWidth="1"/>
    <col min="19" max="19" width="11.7109375" style="114" customWidth="1"/>
    <col min="20" max="20" width="1.7109375" style="114" customWidth="1"/>
    <col min="21" max="21" width="11.7109375" style="114" customWidth="1"/>
    <col min="22" max="22" width="1.7109375" style="114" hidden="1" customWidth="1"/>
    <col min="23" max="23" width="15.7109375" style="114" customWidth="1"/>
    <col min="24" max="24" width="1.7109375" style="114" customWidth="1"/>
    <col min="25" max="25" width="11.7109375" style="114" customWidth="1"/>
    <col min="26" max="26" width="1.7109375" style="114" customWidth="1"/>
    <col min="27" max="27" width="11.7109375" style="114" customWidth="1"/>
    <col min="28" max="28" width="1.7109375" style="114" customWidth="1"/>
    <col min="29" max="29" width="11.7109375" style="114" customWidth="1"/>
    <col min="30" max="30" width="1.7109375" style="114" customWidth="1"/>
    <col min="31" max="31" width="11.7109375" style="114" customWidth="1"/>
    <col min="32" max="32" width="1.7109375" style="117" customWidth="1"/>
    <col min="33" max="33" width="11.7109375" style="117" customWidth="1"/>
    <col min="34" max="34" width="1.7109375" style="117" hidden="1" customWidth="1"/>
    <col min="35" max="35" width="10.7109375" style="117" customWidth="1"/>
    <col min="36" max="36" width="1.7109375" style="117" customWidth="1"/>
    <col min="37" max="37" width="10.7109375" style="117" customWidth="1"/>
    <col min="38" max="38" width="1.7109375" style="117" customWidth="1"/>
    <col min="39" max="39" width="10.7109375" style="82" customWidth="1"/>
    <col min="40" max="40" width="1.7109375" style="82" customWidth="1"/>
    <col min="41" max="41" width="11.7109375" style="114" customWidth="1"/>
    <col min="42" max="42" width="1.7109375" style="82" customWidth="1"/>
    <col min="43" max="43" width="10.7109375" style="82" hidden="1" customWidth="1"/>
    <col min="44" max="44" width="1.7109375" style="82" hidden="1" customWidth="1"/>
    <col min="45" max="45" width="10.7109375" style="82" hidden="1" customWidth="1"/>
    <col min="46" max="46" width="1.7109375" style="82" hidden="1" customWidth="1"/>
    <col min="47" max="47" width="11.7109375" style="114" customWidth="1"/>
    <col min="48" max="48" width="1.7109375" style="82" hidden="1" customWidth="1"/>
    <col min="49" max="49" width="15.7109375" style="82" customWidth="1"/>
    <col min="50" max="50" width="1.7109375" style="82" customWidth="1"/>
    <col min="51" max="51" width="11.7109375" style="82" customWidth="1"/>
    <col min="52" max="52" width="1.7109375" style="82" customWidth="1"/>
    <col min="53" max="53" width="11.7109375" style="82" customWidth="1"/>
    <col min="54" max="54" width="1.7109375" style="82" customWidth="1"/>
    <col min="55" max="55" width="11.7109375" style="82" customWidth="1"/>
    <col min="56" max="56" width="1.7109375" style="82" customWidth="1"/>
    <col min="57" max="57" width="11.7109375" style="82" customWidth="1"/>
    <col min="58" max="58" width="1.7109375" style="82" customWidth="1"/>
    <col min="59" max="59" width="11.7109375" style="114" customWidth="1"/>
    <col min="60" max="60" width="9.140625" style="82" bestFit="1" customWidth="1"/>
    <col min="61" max="16384" width="8.421875" style="82" customWidth="1"/>
  </cols>
  <sheetData>
    <row r="1" spans="1:60" s="110" customFormat="1" ht="12.75">
      <c r="A1" s="107" t="s">
        <v>196</v>
      </c>
      <c r="B1" s="111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5" t="s">
        <v>196</v>
      </c>
      <c r="X1" s="106"/>
      <c r="Y1" s="106"/>
      <c r="Z1" s="106"/>
      <c r="AA1" s="85"/>
      <c r="AB1" s="85"/>
      <c r="AC1" s="85"/>
      <c r="AD1" s="85"/>
      <c r="AE1" s="106"/>
      <c r="AF1" s="85"/>
      <c r="AG1" s="85"/>
      <c r="AH1" s="85"/>
      <c r="AI1" s="85"/>
      <c r="AJ1" s="85"/>
      <c r="AK1" s="85"/>
      <c r="AL1" s="85"/>
      <c r="AM1" s="109"/>
      <c r="AN1" s="109"/>
      <c r="AO1" s="106"/>
      <c r="AP1" s="109"/>
      <c r="AQ1" s="109"/>
      <c r="AR1" s="109"/>
      <c r="AS1" s="109"/>
      <c r="AT1" s="109"/>
      <c r="AU1" s="106"/>
      <c r="AV1" s="109"/>
      <c r="AW1" s="107" t="s">
        <v>196</v>
      </c>
      <c r="AX1" s="109"/>
      <c r="AY1" s="109"/>
      <c r="AZ1" s="109"/>
      <c r="BA1" s="109"/>
      <c r="BB1" s="109"/>
      <c r="BC1" s="109"/>
      <c r="BD1" s="109"/>
      <c r="BE1" s="109"/>
      <c r="BF1" s="109"/>
      <c r="BG1" s="106"/>
      <c r="BH1" s="109"/>
    </row>
    <row r="2" spans="1:60" s="110" customFormat="1" ht="12.75">
      <c r="A2" s="63" t="s">
        <v>136</v>
      </c>
      <c r="B2" s="11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63" t="s">
        <v>248</v>
      </c>
      <c r="X2" s="106"/>
      <c r="Y2" s="106"/>
      <c r="Z2" s="106"/>
      <c r="AA2" s="85"/>
      <c r="AB2" s="85"/>
      <c r="AC2" s="85"/>
      <c r="AD2" s="85"/>
      <c r="AE2" s="106"/>
      <c r="AF2" s="85"/>
      <c r="AG2" s="85"/>
      <c r="AH2" s="85"/>
      <c r="AI2" s="85"/>
      <c r="AJ2" s="85"/>
      <c r="AK2" s="85"/>
      <c r="AL2" s="85"/>
      <c r="AM2" s="109"/>
      <c r="AN2" s="109"/>
      <c r="AO2" s="106"/>
      <c r="AP2" s="109"/>
      <c r="AQ2" s="109"/>
      <c r="AR2" s="109"/>
      <c r="AS2" s="109"/>
      <c r="AT2" s="109"/>
      <c r="AU2" s="106"/>
      <c r="AV2" s="109"/>
      <c r="AW2" s="107" t="s">
        <v>102</v>
      </c>
      <c r="AX2" s="109"/>
      <c r="AY2" s="109"/>
      <c r="AZ2" s="109"/>
      <c r="BA2" s="109"/>
      <c r="BB2" s="109"/>
      <c r="BC2" s="109"/>
      <c r="BD2" s="109"/>
      <c r="BE2" s="109"/>
      <c r="BF2" s="109"/>
      <c r="BG2" s="106"/>
      <c r="BH2" s="109"/>
    </row>
    <row r="3" spans="1:60" ht="12.75">
      <c r="A3" s="63" t="s">
        <v>251</v>
      </c>
      <c r="B3" s="111"/>
      <c r="C3" s="111"/>
      <c r="D3" s="111"/>
      <c r="E3" s="111"/>
      <c r="F3" s="111"/>
      <c r="G3" s="111"/>
      <c r="H3" s="111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57" t="s">
        <v>251</v>
      </c>
      <c r="X3" s="99"/>
      <c r="Y3" s="99"/>
      <c r="Z3" s="99"/>
      <c r="AA3" s="85"/>
      <c r="AB3" s="85"/>
      <c r="AC3" s="85"/>
      <c r="AD3" s="85"/>
      <c r="AE3" s="99"/>
      <c r="AF3" s="85"/>
      <c r="AG3" s="85"/>
      <c r="AH3" s="85"/>
      <c r="AI3" s="85"/>
      <c r="AJ3" s="85"/>
      <c r="AK3" s="85"/>
      <c r="AL3" s="85"/>
      <c r="AM3" s="79"/>
      <c r="AN3" s="79"/>
      <c r="AO3" s="99"/>
      <c r="AP3" s="79"/>
      <c r="AQ3" s="79"/>
      <c r="AR3" s="79"/>
      <c r="AS3" s="79"/>
      <c r="AT3" s="79"/>
      <c r="AU3" s="99"/>
      <c r="AV3" s="79"/>
      <c r="AW3" s="63" t="s">
        <v>251</v>
      </c>
      <c r="AX3" s="79"/>
      <c r="AY3" s="79"/>
      <c r="AZ3" s="79"/>
      <c r="BA3" s="79"/>
      <c r="BB3" s="79"/>
      <c r="BC3" s="79"/>
      <c r="BD3" s="79"/>
      <c r="BE3" s="79"/>
      <c r="BF3" s="79"/>
      <c r="BG3" s="99"/>
      <c r="BH3" s="79"/>
    </row>
    <row r="4" spans="1:60" ht="12.75">
      <c r="A4" s="63"/>
      <c r="B4" s="111"/>
      <c r="C4" s="111"/>
      <c r="D4" s="111"/>
      <c r="E4" s="111"/>
      <c r="F4" s="111"/>
      <c r="G4" s="111"/>
      <c r="H4" s="111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2"/>
      <c r="X4" s="99"/>
      <c r="Y4" s="99"/>
      <c r="Z4" s="99"/>
      <c r="AA4" s="85"/>
      <c r="AB4" s="85"/>
      <c r="AC4" s="85"/>
      <c r="AD4" s="85"/>
      <c r="AE4" s="99"/>
      <c r="AF4" s="85"/>
      <c r="AG4" s="85"/>
      <c r="AH4" s="85"/>
      <c r="AI4" s="85"/>
      <c r="AJ4" s="85"/>
      <c r="AK4" s="85"/>
      <c r="AL4" s="85"/>
      <c r="AM4" s="79"/>
      <c r="AN4" s="79"/>
      <c r="AO4" s="99"/>
      <c r="AP4" s="79"/>
      <c r="AQ4" s="79"/>
      <c r="AR4" s="79"/>
      <c r="AS4" s="79"/>
      <c r="AT4" s="79"/>
      <c r="AU4" s="99"/>
      <c r="AV4" s="79"/>
      <c r="AW4" s="90"/>
      <c r="AX4" s="79"/>
      <c r="AY4" s="79"/>
      <c r="AZ4" s="79"/>
      <c r="BA4" s="79"/>
      <c r="BB4" s="79"/>
      <c r="BC4" s="79"/>
      <c r="BD4" s="79"/>
      <c r="BE4" s="79"/>
      <c r="BF4" s="79"/>
      <c r="BG4" s="99"/>
      <c r="BH4" s="79"/>
    </row>
    <row r="5" spans="1:60" ht="12.75">
      <c r="A5" s="57" t="s">
        <v>183</v>
      </c>
      <c r="B5" s="24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57" t="s">
        <v>183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 t="s">
        <v>183</v>
      </c>
      <c r="AX5" s="21"/>
      <c r="BF5" s="51"/>
      <c r="BG5" s="21"/>
      <c r="BH5" s="79"/>
    </row>
    <row r="6" spans="1:60" ht="12.75">
      <c r="A6" s="57"/>
      <c r="B6" s="2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0" t="s">
        <v>137</v>
      </c>
      <c r="P6" s="50"/>
      <c r="Q6" s="50"/>
      <c r="R6" s="50"/>
      <c r="S6" s="50"/>
      <c r="T6" s="50"/>
      <c r="U6" s="50"/>
      <c r="V6" s="21"/>
      <c r="W6" s="57"/>
      <c r="X6" s="21"/>
      <c r="Y6" s="21"/>
      <c r="Z6" s="21"/>
      <c r="AA6" s="21"/>
      <c r="AB6" s="21"/>
      <c r="AC6" s="21"/>
      <c r="AD6" s="21"/>
      <c r="AE6" s="51"/>
      <c r="AF6" s="21"/>
      <c r="AG6" s="21"/>
      <c r="AH6" s="21"/>
      <c r="AI6" s="21"/>
      <c r="AJ6" s="21"/>
      <c r="AK6" s="21"/>
      <c r="AL6" s="21"/>
      <c r="AM6" s="21"/>
      <c r="AN6" s="21"/>
      <c r="AO6" s="51"/>
      <c r="AP6" s="21"/>
      <c r="AQ6" s="21"/>
      <c r="AR6" s="21"/>
      <c r="AS6" s="21"/>
      <c r="AT6" s="21"/>
      <c r="AU6" s="51"/>
      <c r="AV6" s="21"/>
      <c r="AW6" s="57"/>
      <c r="AX6" s="21"/>
      <c r="AY6" s="50" t="s">
        <v>102</v>
      </c>
      <c r="AZ6" s="50"/>
      <c r="BA6" s="50"/>
      <c r="BB6" s="50"/>
      <c r="BC6" s="50"/>
      <c r="BD6" s="50"/>
      <c r="BE6" s="50"/>
      <c r="BF6" s="50"/>
      <c r="BG6" s="50"/>
      <c r="BH6" s="79"/>
    </row>
    <row r="7" spans="1:60" ht="12.75">
      <c r="A7" s="113"/>
      <c r="B7" s="5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U7" s="21" t="s">
        <v>4</v>
      </c>
      <c r="V7" s="51"/>
      <c r="W7" s="113"/>
      <c r="X7" s="51"/>
      <c r="Y7" s="21"/>
      <c r="Z7" s="21"/>
      <c r="AA7" s="21"/>
      <c r="AB7" s="21"/>
      <c r="AC7" s="21"/>
      <c r="AD7" s="21"/>
      <c r="AE7" s="21"/>
      <c r="AF7" s="21"/>
      <c r="AG7" s="21" t="s">
        <v>157</v>
      </c>
      <c r="AH7" s="21"/>
      <c r="AI7" s="21"/>
      <c r="AJ7" s="21"/>
      <c r="AK7" s="21"/>
      <c r="AL7" s="21"/>
      <c r="AM7" s="21"/>
      <c r="AN7" s="21"/>
      <c r="AO7" s="21"/>
      <c r="AP7" s="21"/>
      <c r="AQ7" s="21" t="s">
        <v>154</v>
      </c>
      <c r="AR7" s="21"/>
      <c r="AS7" s="21" t="s">
        <v>154</v>
      </c>
      <c r="AT7" s="21"/>
      <c r="AU7" s="21"/>
      <c r="AV7" s="21"/>
      <c r="AW7" s="113"/>
      <c r="AX7" s="21"/>
      <c r="AY7" s="21" t="s">
        <v>103</v>
      </c>
      <c r="AZ7" s="21"/>
      <c r="BA7" s="21" t="s">
        <v>104</v>
      </c>
      <c r="BB7" s="21"/>
      <c r="BC7" s="21"/>
      <c r="BD7" s="21"/>
      <c r="BE7" s="21" t="s">
        <v>105</v>
      </c>
      <c r="BF7" s="21"/>
      <c r="BG7" s="21" t="s">
        <v>4</v>
      </c>
      <c r="BH7" s="79"/>
    </row>
    <row r="8" spans="1:60" ht="12.75">
      <c r="A8" s="113"/>
      <c r="B8" s="21"/>
      <c r="C8" s="21" t="s">
        <v>134</v>
      </c>
      <c r="D8" s="21"/>
      <c r="E8" s="21" t="s">
        <v>155</v>
      </c>
      <c r="F8" s="21"/>
      <c r="G8" s="21" t="s">
        <v>4</v>
      </c>
      <c r="H8" s="21"/>
      <c r="I8" s="21" t="s">
        <v>134</v>
      </c>
      <c r="J8" s="21"/>
      <c r="K8" s="21" t="s">
        <v>155</v>
      </c>
      <c r="L8" s="21"/>
      <c r="M8" s="21" t="s">
        <v>4</v>
      </c>
      <c r="N8" s="21"/>
      <c r="O8" s="21" t="s">
        <v>138</v>
      </c>
      <c r="P8" s="21"/>
      <c r="Q8" s="21"/>
      <c r="R8" s="21"/>
      <c r="S8" s="21"/>
      <c r="T8" s="21"/>
      <c r="U8" s="21" t="s">
        <v>231</v>
      </c>
      <c r="V8" s="21"/>
      <c r="W8" s="113"/>
      <c r="X8" s="21"/>
      <c r="Y8" s="21" t="s">
        <v>101</v>
      </c>
      <c r="Z8" s="21"/>
      <c r="AA8" s="21" t="s">
        <v>156</v>
      </c>
      <c r="AB8" s="21"/>
      <c r="AC8" s="21"/>
      <c r="AD8" s="21"/>
      <c r="AE8" s="21" t="s">
        <v>101</v>
      </c>
      <c r="AF8" s="21"/>
      <c r="AG8" s="21" t="s">
        <v>12</v>
      </c>
      <c r="AH8" s="21"/>
      <c r="AI8" s="21"/>
      <c r="AJ8" s="21"/>
      <c r="AK8" s="21"/>
      <c r="AL8" s="21"/>
      <c r="AM8" s="21" t="s">
        <v>87</v>
      </c>
      <c r="AN8" s="21"/>
      <c r="AO8" s="21" t="s">
        <v>230</v>
      </c>
      <c r="AP8" s="21"/>
      <c r="AQ8" s="21" t="s">
        <v>158</v>
      </c>
      <c r="AR8" s="21"/>
      <c r="AS8" s="21" t="s">
        <v>158</v>
      </c>
      <c r="AT8" s="21"/>
      <c r="AU8" s="21" t="s">
        <v>106</v>
      </c>
      <c r="AV8" s="21"/>
      <c r="AW8" s="113"/>
      <c r="AX8" s="21"/>
      <c r="AY8" s="21" t="s">
        <v>107</v>
      </c>
      <c r="AZ8" s="21"/>
      <c r="BA8" s="21" t="s">
        <v>12</v>
      </c>
      <c r="BB8" s="21"/>
      <c r="BC8" s="21"/>
      <c r="BD8" s="21"/>
      <c r="BE8" s="21" t="s">
        <v>108</v>
      </c>
      <c r="BF8" s="21"/>
      <c r="BG8" s="21" t="s">
        <v>108</v>
      </c>
      <c r="BH8" s="79"/>
    </row>
    <row r="9" spans="1:60" ht="12.75">
      <c r="A9" s="115" t="s">
        <v>5</v>
      </c>
      <c r="B9" s="82"/>
      <c r="C9" s="20" t="s">
        <v>116</v>
      </c>
      <c r="D9" s="82"/>
      <c r="E9" s="20" t="s">
        <v>116</v>
      </c>
      <c r="F9" s="82"/>
      <c r="G9" s="20" t="s">
        <v>116</v>
      </c>
      <c r="H9" s="82"/>
      <c r="I9" s="20" t="s">
        <v>121</v>
      </c>
      <c r="J9" s="82"/>
      <c r="K9" s="20" t="s">
        <v>121</v>
      </c>
      <c r="L9" s="82"/>
      <c r="M9" s="20" t="s">
        <v>121</v>
      </c>
      <c r="N9" s="82"/>
      <c r="O9" s="20" t="s">
        <v>140</v>
      </c>
      <c r="P9" s="82"/>
      <c r="Q9" s="20" t="s">
        <v>141</v>
      </c>
      <c r="R9" s="82"/>
      <c r="S9" s="20" t="s">
        <v>142</v>
      </c>
      <c r="T9" s="82"/>
      <c r="U9" s="20" t="s">
        <v>116</v>
      </c>
      <c r="V9" s="82"/>
      <c r="W9" s="115" t="s">
        <v>5</v>
      </c>
      <c r="X9" s="82"/>
      <c r="Y9" s="20" t="s">
        <v>12</v>
      </c>
      <c r="Z9" s="82"/>
      <c r="AA9" s="20" t="s">
        <v>109</v>
      </c>
      <c r="AB9" s="82"/>
      <c r="AC9" s="20" t="s">
        <v>109</v>
      </c>
      <c r="AD9" s="82"/>
      <c r="AE9" s="20" t="s">
        <v>110</v>
      </c>
      <c r="AF9" s="82"/>
      <c r="AG9" s="20" t="s">
        <v>229</v>
      </c>
      <c r="AH9" s="82"/>
      <c r="AI9" s="20" t="s">
        <v>111</v>
      </c>
      <c r="AJ9" s="82"/>
      <c r="AK9" s="20" t="s">
        <v>112</v>
      </c>
      <c r="AL9" s="82"/>
      <c r="AM9" s="20" t="s">
        <v>160</v>
      </c>
      <c r="AO9" s="20" t="s">
        <v>137</v>
      </c>
      <c r="AQ9" s="20" t="s">
        <v>161</v>
      </c>
      <c r="AS9" s="20" t="s">
        <v>162</v>
      </c>
      <c r="AU9" s="20" t="s">
        <v>87</v>
      </c>
      <c r="AW9" s="115" t="s">
        <v>5</v>
      </c>
      <c r="AY9" s="20" t="s">
        <v>113</v>
      </c>
      <c r="BA9" s="20" t="s">
        <v>113</v>
      </c>
      <c r="BC9" s="20" t="s">
        <v>114</v>
      </c>
      <c r="BE9" s="20" t="s">
        <v>115</v>
      </c>
      <c r="BG9" s="20" t="s">
        <v>121</v>
      </c>
      <c r="BH9" s="79"/>
    </row>
    <row r="10" spans="1:60" ht="12.75">
      <c r="A10" s="113"/>
      <c r="B10" s="82"/>
      <c r="C10" s="21"/>
      <c r="D10" s="82"/>
      <c r="E10" s="21"/>
      <c r="F10" s="82"/>
      <c r="G10" s="21"/>
      <c r="H10" s="82"/>
      <c r="I10" s="21"/>
      <c r="J10" s="82"/>
      <c r="K10" s="21"/>
      <c r="L10" s="82"/>
      <c r="M10" s="21"/>
      <c r="N10" s="82"/>
      <c r="O10" s="21"/>
      <c r="P10" s="82"/>
      <c r="Q10" s="21"/>
      <c r="R10" s="82"/>
      <c r="S10" s="21"/>
      <c r="T10" s="82"/>
      <c r="U10" s="21"/>
      <c r="V10" s="82"/>
      <c r="W10" s="113"/>
      <c r="X10" s="82"/>
      <c r="Y10" s="21"/>
      <c r="Z10" s="82"/>
      <c r="AA10" s="21"/>
      <c r="AB10" s="82"/>
      <c r="AC10" s="21"/>
      <c r="AD10" s="82"/>
      <c r="AE10" s="21"/>
      <c r="AF10" s="82"/>
      <c r="AG10" s="21"/>
      <c r="AH10" s="82"/>
      <c r="AI10" s="21"/>
      <c r="AJ10" s="82"/>
      <c r="AK10" s="21"/>
      <c r="AL10" s="82"/>
      <c r="AM10" s="21"/>
      <c r="AO10" s="21"/>
      <c r="AQ10" s="21"/>
      <c r="AS10" s="21"/>
      <c r="AU10" s="21"/>
      <c r="AW10" s="113"/>
      <c r="AY10" s="21"/>
      <c r="BA10" s="21"/>
      <c r="BC10" s="21"/>
      <c r="BE10" s="21"/>
      <c r="BG10" s="21"/>
      <c r="BH10" s="79"/>
    </row>
    <row r="11" spans="1:60" s="120" customFormat="1" ht="12.75" hidden="1">
      <c r="A11" s="80" t="s">
        <v>13</v>
      </c>
      <c r="B11" s="118"/>
      <c r="C11" s="74">
        <f aca="true" t="shared" si="0" ref="C11:C26">G11-E11</f>
        <v>0</v>
      </c>
      <c r="D11" s="74"/>
      <c r="E11" s="74">
        <v>0</v>
      </c>
      <c r="F11" s="74"/>
      <c r="G11" s="74">
        <v>0</v>
      </c>
      <c r="H11" s="74"/>
      <c r="I11" s="74">
        <f aca="true" t="shared" si="1" ref="I11:I26">M11-K11</f>
        <v>0</v>
      </c>
      <c r="J11" s="74"/>
      <c r="K11" s="74">
        <f>SUM(BG11)</f>
        <v>0</v>
      </c>
      <c r="L11" s="74"/>
      <c r="M11" s="74">
        <v>0</v>
      </c>
      <c r="N11" s="74"/>
      <c r="O11" s="74">
        <v>0</v>
      </c>
      <c r="P11" s="74"/>
      <c r="Q11" s="74">
        <v>0</v>
      </c>
      <c r="R11" s="74"/>
      <c r="S11" s="74">
        <v>0</v>
      </c>
      <c r="T11" s="74"/>
      <c r="U11" s="74">
        <f aca="true" t="shared" si="2" ref="U11:U26">SUM(O11:S11)</f>
        <v>0</v>
      </c>
      <c r="V11" s="118"/>
      <c r="W11" s="80" t="s">
        <v>13</v>
      </c>
      <c r="X11" s="118"/>
      <c r="Y11" s="74">
        <v>0</v>
      </c>
      <c r="Z11" s="48"/>
      <c r="AA11" s="74">
        <v>0</v>
      </c>
      <c r="AB11" s="48"/>
      <c r="AC11" s="74">
        <v>0</v>
      </c>
      <c r="AD11" s="48"/>
      <c r="AE11" s="74">
        <f aca="true" t="shared" si="3" ref="AE11:AE26">+Y11-AA11-AC11</f>
        <v>0</v>
      </c>
      <c r="AF11" s="61"/>
      <c r="AG11" s="74">
        <v>0</v>
      </c>
      <c r="AH11" s="61"/>
      <c r="AI11" s="74">
        <v>0</v>
      </c>
      <c r="AJ11" s="48"/>
      <c r="AK11" s="74">
        <v>0</v>
      </c>
      <c r="AL11" s="48"/>
      <c r="AM11" s="74">
        <v>0</v>
      </c>
      <c r="AN11" s="48"/>
      <c r="AO11" s="74">
        <f aca="true" t="shared" si="4" ref="AO11:AO26">+AE11+AG11+AI11-AK11+AM11</f>
        <v>0</v>
      </c>
      <c r="AP11" s="61"/>
      <c r="AQ11" s="48"/>
      <c r="AR11" s="48"/>
      <c r="AS11" s="48"/>
      <c r="AT11" s="48"/>
      <c r="AU11" s="74">
        <f aca="true" t="shared" si="5" ref="AU11:AU26">+C11-I11</f>
        <v>0</v>
      </c>
      <c r="AV11" s="118"/>
      <c r="AW11" s="80" t="s">
        <v>13</v>
      </c>
      <c r="AX11" s="118"/>
      <c r="AY11" s="74">
        <v>0</v>
      </c>
      <c r="AZ11" s="48"/>
      <c r="BA11" s="74">
        <v>0</v>
      </c>
      <c r="BB11" s="48"/>
      <c r="BC11" s="74">
        <v>0</v>
      </c>
      <c r="BD11" s="48"/>
      <c r="BE11" s="74">
        <v>0</v>
      </c>
      <c r="BF11" s="48"/>
      <c r="BG11" s="74">
        <f>SUM(AY11:BE11)</f>
        <v>0</v>
      </c>
      <c r="BH11" s="119"/>
    </row>
    <row r="12" spans="1:60" s="120" customFormat="1" ht="12.75">
      <c r="A12" s="80" t="s">
        <v>14</v>
      </c>
      <c r="B12" s="118"/>
      <c r="C12" s="74">
        <f t="shared" si="0"/>
        <v>589476</v>
      </c>
      <c r="D12" s="74"/>
      <c r="E12" s="74">
        <v>69206</v>
      </c>
      <c r="F12" s="74"/>
      <c r="G12" s="74">
        <v>658682</v>
      </c>
      <c r="H12" s="74"/>
      <c r="I12" s="74">
        <f t="shared" si="1"/>
        <v>95165</v>
      </c>
      <c r="J12" s="74"/>
      <c r="K12" s="74">
        <v>1532338</v>
      </c>
      <c r="L12" s="74"/>
      <c r="M12" s="74">
        <v>1627503</v>
      </c>
      <c r="N12" s="74"/>
      <c r="O12" s="74">
        <v>69206</v>
      </c>
      <c r="P12" s="74"/>
      <c r="Q12" s="74">
        <v>0</v>
      </c>
      <c r="R12" s="74"/>
      <c r="S12" s="74">
        <v>-1038027</v>
      </c>
      <c r="T12" s="74"/>
      <c r="U12" s="74">
        <f>SUM(O12:S12)</f>
        <v>-968821</v>
      </c>
      <c r="V12" s="74"/>
      <c r="W12" s="80" t="s">
        <v>14</v>
      </c>
      <c r="X12" s="74"/>
      <c r="Y12" s="74">
        <v>247570</v>
      </c>
      <c r="Z12" s="48"/>
      <c r="AA12" s="74">
        <f>214558-3871</f>
        <v>210687</v>
      </c>
      <c r="AB12" s="48"/>
      <c r="AC12" s="74">
        <v>3871</v>
      </c>
      <c r="AD12" s="48"/>
      <c r="AE12" s="74">
        <f t="shared" si="3"/>
        <v>33012</v>
      </c>
      <c r="AF12" s="61"/>
      <c r="AG12" s="74">
        <v>0</v>
      </c>
      <c r="AH12" s="61"/>
      <c r="AI12" s="74">
        <v>0</v>
      </c>
      <c r="AJ12" s="48"/>
      <c r="AK12" s="74">
        <v>0</v>
      </c>
      <c r="AL12" s="48"/>
      <c r="AM12" s="74">
        <v>0</v>
      </c>
      <c r="AN12" s="48"/>
      <c r="AO12" s="74">
        <f t="shared" si="4"/>
        <v>33012</v>
      </c>
      <c r="AP12" s="61"/>
      <c r="AQ12" s="48">
        <v>0</v>
      </c>
      <c r="AR12" s="48"/>
      <c r="AS12" s="48">
        <v>0</v>
      </c>
      <c r="AT12" s="48"/>
      <c r="AU12" s="74">
        <f t="shared" si="5"/>
        <v>494311</v>
      </c>
      <c r="AV12" s="48"/>
      <c r="AW12" s="80" t="s">
        <v>14</v>
      </c>
      <c r="AX12" s="48"/>
      <c r="AY12" s="74">
        <v>0</v>
      </c>
      <c r="AZ12" s="48"/>
      <c r="BA12" s="74">
        <v>0</v>
      </c>
      <c r="BB12" s="48"/>
      <c r="BC12" s="74">
        <v>0</v>
      </c>
      <c r="BD12" s="48"/>
      <c r="BE12" s="74">
        <v>1532338</v>
      </c>
      <c r="BF12" s="48"/>
      <c r="BG12" s="74">
        <f>SUM(AY12:BE12)</f>
        <v>1532338</v>
      </c>
      <c r="BH12" s="119"/>
    </row>
    <row r="13" spans="1:60" ht="12.75" hidden="1">
      <c r="A13" s="77" t="s">
        <v>15</v>
      </c>
      <c r="B13" s="96"/>
      <c r="C13" s="35">
        <f t="shared" si="0"/>
        <v>0</v>
      </c>
      <c r="D13" s="35"/>
      <c r="E13" s="35"/>
      <c r="F13" s="35"/>
      <c r="G13" s="35"/>
      <c r="H13" s="35"/>
      <c r="I13" s="35">
        <f t="shared" si="1"/>
        <v>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>
        <f t="shared" si="2"/>
        <v>0</v>
      </c>
      <c r="V13" s="96"/>
      <c r="W13" s="81" t="s">
        <v>15</v>
      </c>
      <c r="X13" s="96"/>
      <c r="Y13" s="35"/>
      <c r="Z13" s="17"/>
      <c r="AA13" s="35"/>
      <c r="AB13" s="17"/>
      <c r="AC13" s="35"/>
      <c r="AD13" s="17"/>
      <c r="AE13" s="35">
        <f t="shared" si="3"/>
        <v>0</v>
      </c>
      <c r="AF13" s="40"/>
      <c r="AG13" s="35"/>
      <c r="AH13" s="40"/>
      <c r="AI13" s="35"/>
      <c r="AJ13" s="17"/>
      <c r="AK13" s="74">
        <v>0</v>
      </c>
      <c r="AL13" s="17"/>
      <c r="AM13" s="74">
        <v>0</v>
      </c>
      <c r="AN13" s="17"/>
      <c r="AO13" s="35">
        <f t="shared" si="4"/>
        <v>0</v>
      </c>
      <c r="AP13" s="40"/>
      <c r="AQ13" s="17">
        <v>0</v>
      </c>
      <c r="AR13" s="17"/>
      <c r="AS13" s="17">
        <v>0</v>
      </c>
      <c r="AT13" s="17"/>
      <c r="AU13" s="35">
        <f t="shared" si="5"/>
        <v>0</v>
      </c>
      <c r="AV13" s="96"/>
      <c r="AW13" s="81" t="s">
        <v>15</v>
      </c>
      <c r="AX13" s="96"/>
      <c r="AY13" s="35"/>
      <c r="AZ13" s="17"/>
      <c r="BA13" s="35"/>
      <c r="BB13" s="17"/>
      <c r="BC13" s="35"/>
      <c r="BD13" s="17"/>
      <c r="BE13" s="35"/>
      <c r="BF13" s="17"/>
      <c r="BG13" s="35">
        <f aca="true" t="shared" si="6" ref="BG13:BG26">SUM(AY13:BE13)</f>
        <v>0</v>
      </c>
      <c r="BH13" s="79"/>
    </row>
    <row r="14" spans="1:60" ht="12.75" hidden="1">
      <c r="A14" s="77" t="s">
        <v>16</v>
      </c>
      <c r="B14" s="96"/>
      <c r="C14" s="35">
        <f t="shared" si="0"/>
        <v>0</v>
      </c>
      <c r="D14" s="35"/>
      <c r="E14" s="35"/>
      <c r="F14" s="35"/>
      <c r="G14" s="35"/>
      <c r="H14" s="35"/>
      <c r="I14" s="35">
        <f t="shared" si="1"/>
        <v>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>
        <f t="shared" si="2"/>
        <v>0</v>
      </c>
      <c r="V14" s="96"/>
      <c r="W14" s="81" t="s">
        <v>16</v>
      </c>
      <c r="X14" s="96"/>
      <c r="Y14" s="35"/>
      <c r="Z14" s="17"/>
      <c r="AA14" s="35"/>
      <c r="AB14" s="17"/>
      <c r="AC14" s="35"/>
      <c r="AD14" s="17"/>
      <c r="AE14" s="35">
        <f t="shared" si="3"/>
        <v>0</v>
      </c>
      <c r="AF14" s="40"/>
      <c r="AG14" s="35"/>
      <c r="AH14" s="40"/>
      <c r="AI14" s="35"/>
      <c r="AJ14" s="17"/>
      <c r="AK14" s="74">
        <v>0</v>
      </c>
      <c r="AL14" s="17"/>
      <c r="AM14" s="74">
        <v>0</v>
      </c>
      <c r="AN14" s="17"/>
      <c r="AO14" s="35">
        <f t="shared" si="4"/>
        <v>0</v>
      </c>
      <c r="AP14" s="40"/>
      <c r="AQ14" s="17">
        <v>0</v>
      </c>
      <c r="AR14" s="17"/>
      <c r="AS14" s="17">
        <v>0</v>
      </c>
      <c r="AT14" s="17"/>
      <c r="AU14" s="35">
        <f t="shared" si="5"/>
        <v>0</v>
      </c>
      <c r="AV14" s="96"/>
      <c r="AW14" s="81" t="s">
        <v>16</v>
      </c>
      <c r="AX14" s="96"/>
      <c r="AY14" s="35"/>
      <c r="AZ14" s="17"/>
      <c r="BA14" s="35"/>
      <c r="BB14" s="17"/>
      <c r="BC14" s="35"/>
      <c r="BD14" s="17"/>
      <c r="BE14" s="35"/>
      <c r="BF14" s="17"/>
      <c r="BG14" s="35">
        <f t="shared" si="6"/>
        <v>0</v>
      </c>
      <c r="BH14" s="79"/>
    </row>
    <row r="15" spans="1:60" ht="12.75" hidden="1">
      <c r="A15" s="77" t="s">
        <v>17</v>
      </c>
      <c r="B15" s="96"/>
      <c r="C15" s="35">
        <f t="shared" si="0"/>
        <v>0</v>
      </c>
      <c r="D15" s="35"/>
      <c r="E15" s="35"/>
      <c r="F15" s="35"/>
      <c r="G15" s="35"/>
      <c r="H15" s="35"/>
      <c r="I15" s="35">
        <f t="shared" si="1"/>
        <v>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>
        <f t="shared" si="2"/>
        <v>0</v>
      </c>
      <c r="V15" s="96"/>
      <c r="W15" s="81" t="s">
        <v>17</v>
      </c>
      <c r="X15" s="96"/>
      <c r="Y15" s="35"/>
      <c r="Z15" s="17"/>
      <c r="AA15" s="35"/>
      <c r="AB15" s="17"/>
      <c r="AC15" s="35"/>
      <c r="AD15" s="17"/>
      <c r="AE15" s="35">
        <f t="shared" si="3"/>
        <v>0</v>
      </c>
      <c r="AF15" s="40"/>
      <c r="AG15" s="35"/>
      <c r="AH15" s="40"/>
      <c r="AI15" s="35"/>
      <c r="AJ15" s="17"/>
      <c r="AK15" s="74">
        <v>0</v>
      </c>
      <c r="AL15" s="17"/>
      <c r="AM15" s="74">
        <v>0</v>
      </c>
      <c r="AN15" s="17"/>
      <c r="AO15" s="35">
        <f t="shared" si="4"/>
        <v>0</v>
      </c>
      <c r="AP15" s="40"/>
      <c r="AQ15" s="17">
        <v>0</v>
      </c>
      <c r="AR15" s="17"/>
      <c r="AS15" s="17">
        <v>0</v>
      </c>
      <c r="AT15" s="17"/>
      <c r="AU15" s="35">
        <f t="shared" si="5"/>
        <v>0</v>
      </c>
      <c r="AV15" s="96"/>
      <c r="AW15" s="81" t="s">
        <v>17</v>
      </c>
      <c r="AX15" s="96"/>
      <c r="AY15" s="35"/>
      <c r="AZ15" s="17"/>
      <c r="BA15" s="35"/>
      <c r="BB15" s="17"/>
      <c r="BC15" s="35"/>
      <c r="BD15" s="17"/>
      <c r="BE15" s="35"/>
      <c r="BF15" s="17"/>
      <c r="BG15" s="35">
        <f t="shared" si="6"/>
        <v>0</v>
      </c>
      <c r="BH15" s="79"/>
    </row>
    <row r="16" spans="1:60" ht="12.75" hidden="1">
      <c r="A16" s="77" t="s">
        <v>18</v>
      </c>
      <c r="B16" s="96"/>
      <c r="C16" s="35">
        <f t="shared" si="0"/>
        <v>0</v>
      </c>
      <c r="D16" s="35"/>
      <c r="E16" s="35"/>
      <c r="F16" s="35"/>
      <c r="G16" s="35"/>
      <c r="H16" s="35"/>
      <c r="I16" s="35">
        <f t="shared" si="1"/>
        <v>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>
        <f t="shared" si="2"/>
        <v>0</v>
      </c>
      <c r="V16" s="96"/>
      <c r="W16" s="81" t="s">
        <v>18</v>
      </c>
      <c r="X16" s="96"/>
      <c r="Y16" s="35"/>
      <c r="Z16" s="17"/>
      <c r="AA16" s="35"/>
      <c r="AB16" s="17"/>
      <c r="AC16" s="35"/>
      <c r="AD16" s="17"/>
      <c r="AE16" s="35">
        <f t="shared" si="3"/>
        <v>0</v>
      </c>
      <c r="AF16" s="40"/>
      <c r="AG16" s="35"/>
      <c r="AH16" s="40"/>
      <c r="AI16" s="35"/>
      <c r="AJ16" s="17"/>
      <c r="AK16" s="74">
        <v>0</v>
      </c>
      <c r="AL16" s="17"/>
      <c r="AM16" s="74">
        <v>0</v>
      </c>
      <c r="AN16" s="17"/>
      <c r="AO16" s="35">
        <f t="shared" si="4"/>
        <v>0</v>
      </c>
      <c r="AP16" s="40"/>
      <c r="AQ16" s="17">
        <v>0</v>
      </c>
      <c r="AR16" s="17"/>
      <c r="AS16" s="17">
        <v>0</v>
      </c>
      <c r="AT16" s="17"/>
      <c r="AU16" s="35">
        <f t="shared" si="5"/>
        <v>0</v>
      </c>
      <c r="AV16" s="96"/>
      <c r="AW16" s="81" t="s">
        <v>18</v>
      </c>
      <c r="AX16" s="96"/>
      <c r="AY16" s="35"/>
      <c r="AZ16" s="17"/>
      <c r="BA16" s="35"/>
      <c r="BB16" s="17"/>
      <c r="BC16" s="35"/>
      <c r="BD16" s="17"/>
      <c r="BE16" s="35"/>
      <c r="BF16" s="17"/>
      <c r="BG16" s="35">
        <f t="shared" si="6"/>
        <v>0</v>
      </c>
      <c r="BH16" s="79"/>
    </row>
    <row r="17" spans="1:60" ht="12.75" hidden="1">
      <c r="A17" s="77" t="s">
        <v>238</v>
      </c>
      <c r="B17" s="96"/>
      <c r="C17" s="35">
        <f t="shared" si="0"/>
        <v>0</v>
      </c>
      <c r="D17" s="35"/>
      <c r="E17" s="35"/>
      <c r="F17" s="35"/>
      <c r="G17" s="35"/>
      <c r="H17" s="35"/>
      <c r="I17" s="35">
        <f t="shared" si="1"/>
        <v>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>
        <f t="shared" si="2"/>
        <v>0</v>
      </c>
      <c r="V17" s="35"/>
      <c r="W17" s="81" t="s">
        <v>96</v>
      </c>
      <c r="X17" s="35"/>
      <c r="Y17" s="35"/>
      <c r="Z17" s="17"/>
      <c r="AA17" s="35"/>
      <c r="AB17" s="17"/>
      <c r="AC17" s="35"/>
      <c r="AD17" s="17"/>
      <c r="AE17" s="35">
        <f t="shared" si="3"/>
        <v>0</v>
      </c>
      <c r="AF17" s="40"/>
      <c r="AG17" s="35"/>
      <c r="AH17" s="40"/>
      <c r="AI17" s="35"/>
      <c r="AJ17" s="17"/>
      <c r="AK17" s="74">
        <v>0</v>
      </c>
      <c r="AL17" s="17"/>
      <c r="AM17" s="74">
        <v>0</v>
      </c>
      <c r="AN17" s="17"/>
      <c r="AO17" s="35">
        <f t="shared" si="4"/>
        <v>0</v>
      </c>
      <c r="AP17" s="40"/>
      <c r="AQ17" s="17">
        <v>0</v>
      </c>
      <c r="AR17" s="17"/>
      <c r="AS17" s="17">
        <v>0</v>
      </c>
      <c r="AT17" s="17"/>
      <c r="AU17" s="35">
        <f t="shared" si="5"/>
        <v>0</v>
      </c>
      <c r="AV17" s="17"/>
      <c r="AW17" s="81" t="s">
        <v>96</v>
      </c>
      <c r="AX17" s="17"/>
      <c r="AY17" s="35"/>
      <c r="AZ17" s="17"/>
      <c r="BA17" s="35"/>
      <c r="BB17" s="17"/>
      <c r="BC17" s="35"/>
      <c r="BD17" s="17"/>
      <c r="BE17" s="35"/>
      <c r="BF17" s="17"/>
      <c r="BG17" s="35">
        <f t="shared" si="6"/>
        <v>0</v>
      </c>
      <c r="BH17" s="79"/>
    </row>
    <row r="18" spans="1:60" ht="12.75" hidden="1">
      <c r="A18" s="77" t="s">
        <v>236</v>
      </c>
      <c r="B18" s="96"/>
      <c r="C18" s="35">
        <f t="shared" si="0"/>
        <v>0</v>
      </c>
      <c r="D18" s="35"/>
      <c r="E18" s="35"/>
      <c r="F18" s="35"/>
      <c r="G18" s="35"/>
      <c r="H18" s="35"/>
      <c r="I18" s="35">
        <f t="shared" si="1"/>
        <v>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f t="shared" si="2"/>
        <v>0</v>
      </c>
      <c r="V18" s="35"/>
      <c r="W18" s="81" t="s">
        <v>236</v>
      </c>
      <c r="X18" s="35"/>
      <c r="Y18" s="35"/>
      <c r="Z18" s="17"/>
      <c r="AA18" s="35"/>
      <c r="AB18" s="17"/>
      <c r="AC18" s="35"/>
      <c r="AD18" s="17"/>
      <c r="AE18" s="35">
        <f t="shared" si="3"/>
        <v>0</v>
      </c>
      <c r="AF18" s="40"/>
      <c r="AG18" s="35"/>
      <c r="AH18" s="40"/>
      <c r="AI18" s="35"/>
      <c r="AJ18" s="17"/>
      <c r="AK18" s="74">
        <v>0</v>
      </c>
      <c r="AL18" s="17"/>
      <c r="AM18" s="74">
        <v>0</v>
      </c>
      <c r="AN18" s="17"/>
      <c r="AO18" s="35">
        <f t="shared" si="4"/>
        <v>0</v>
      </c>
      <c r="AP18" s="40"/>
      <c r="AQ18" s="17">
        <v>0</v>
      </c>
      <c r="AR18" s="17"/>
      <c r="AS18" s="17">
        <v>0</v>
      </c>
      <c r="AT18" s="17"/>
      <c r="AU18" s="35">
        <f t="shared" si="5"/>
        <v>0</v>
      </c>
      <c r="AV18" s="17"/>
      <c r="AW18" s="81" t="s">
        <v>236</v>
      </c>
      <c r="AX18" s="17"/>
      <c r="AY18" s="35"/>
      <c r="AZ18" s="17"/>
      <c r="BA18" s="35"/>
      <c r="BB18" s="17"/>
      <c r="BC18" s="35"/>
      <c r="BD18" s="17"/>
      <c r="BE18" s="35"/>
      <c r="BF18" s="17"/>
      <c r="BG18" s="35">
        <f t="shared" si="6"/>
        <v>0</v>
      </c>
      <c r="BH18" s="79"/>
    </row>
    <row r="19" spans="1:60" ht="12.75">
      <c r="A19" s="77" t="s">
        <v>20</v>
      </c>
      <c r="B19" s="96"/>
      <c r="C19" s="35">
        <f t="shared" si="0"/>
        <v>12627</v>
      </c>
      <c r="D19" s="35"/>
      <c r="E19" s="35">
        <v>0</v>
      </c>
      <c r="F19" s="35"/>
      <c r="G19" s="35">
        <v>12627</v>
      </c>
      <c r="H19" s="35"/>
      <c r="I19" s="35">
        <f t="shared" si="1"/>
        <v>0</v>
      </c>
      <c r="J19" s="35"/>
      <c r="K19" s="35">
        <v>4560492</v>
      </c>
      <c r="L19" s="35"/>
      <c r="M19" s="35">
        <v>4560492</v>
      </c>
      <c r="N19" s="35"/>
      <c r="O19" s="35">
        <v>0</v>
      </c>
      <c r="P19" s="35"/>
      <c r="Q19" s="35">
        <v>0</v>
      </c>
      <c r="R19" s="35"/>
      <c r="S19" s="35">
        <v>-4547865</v>
      </c>
      <c r="T19" s="35"/>
      <c r="U19" s="35">
        <f t="shared" si="2"/>
        <v>-4547865</v>
      </c>
      <c r="V19" s="35"/>
      <c r="W19" s="81" t="s">
        <v>20</v>
      </c>
      <c r="X19" s="35"/>
      <c r="Y19" s="35">
        <v>0</v>
      </c>
      <c r="Z19" s="17"/>
      <c r="AA19" s="35">
        <v>140238</v>
      </c>
      <c r="AB19" s="17"/>
      <c r="AC19" s="35">
        <v>0</v>
      </c>
      <c r="AD19" s="17"/>
      <c r="AE19" s="35">
        <f t="shared" si="3"/>
        <v>-140238</v>
      </c>
      <c r="AF19" s="40"/>
      <c r="AG19" s="35">
        <v>0</v>
      </c>
      <c r="AH19" s="40"/>
      <c r="AI19" s="35">
        <v>0</v>
      </c>
      <c r="AJ19" s="17"/>
      <c r="AK19" s="184">
        <v>0</v>
      </c>
      <c r="AL19" s="17"/>
      <c r="AM19" s="184">
        <v>0</v>
      </c>
      <c r="AN19" s="17"/>
      <c r="AO19" s="35">
        <f t="shared" si="4"/>
        <v>-140238</v>
      </c>
      <c r="AP19" s="40"/>
      <c r="AQ19" s="17">
        <v>0</v>
      </c>
      <c r="AR19" s="17"/>
      <c r="AS19" s="17">
        <v>0</v>
      </c>
      <c r="AT19" s="17"/>
      <c r="AU19" s="35">
        <f t="shared" si="5"/>
        <v>12627</v>
      </c>
      <c r="AV19" s="17"/>
      <c r="AW19" s="81" t="s">
        <v>20</v>
      </c>
      <c r="AX19" s="17"/>
      <c r="AY19" s="35">
        <v>0</v>
      </c>
      <c r="AZ19" s="17"/>
      <c r="BA19" s="35">
        <v>0</v>
      </c>
      <c r="BB19" s="17"/>
      <c r="BC19" s="35">
        <v>0</v>
      </c>
      <c r="BD19" s="17"/>
      <c r="BE19" s="35">
        <v>4560492</v>
      </c>
      <c r="BF19" s="17"/>
      <c r="BG19" s="35">
        <f t="shared" si="6"/>
        <v>4560492</v>
      </c>
      <c r="BH19" s="79"/>
    </row>
    <row r="20" spans="1:60" ht="12.75" hidden="1">
      <c r="A20" s="23" t="s">
        <v>172</v>
      </c>
      <c r="B20" s="96"/>
      <c r="C20" s="35">
        <f t="shared" si="0"/>
        <v>0</v>
      </c>
      <c r="D20" s="35"/>
      <c r="E20" s="35"/>
      <c r="F20" s="35"/>
      <c r="G20" s="35"/>
      <c r="H20" s="35"/>
      <c r="I20" s="35">
        <f t="shared" si="1"/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>
        <f t="shared" si="2"/>
        <v>0</v>
      </c>
      <c r="V20" s="96"/>
      <c r="W20" s="17" t="s">
        <v>172</v>
      </c>
      <c r="X20" s="96"/>
      <c r="Y20" s="35"/>
      <c r="Z20" s="17"/>
      <c r="AA20" s="35"/>
      <c r="AB20" s="17"/>
      <c r="AC20" s="35"/>
      <c r="AD20" s="17"/>
      <c r="AE20" s="35">
        <f t="shared" si="3"/>
        <v>0</v>
      </c>
      <c r="AF20" s="40"/>
      <c r="AG20" s="35"/>
      <c r="AH20" s="40"/>
      <c r="AI20" s="35"/>
      <c r="AJ20" s="17"/>
      <c r="AK20" s="184">
        <v>0</v>
      </c>
      <c r="AL20" s="17"/>
      <c r="AM20" s="184">
        <v>0</v>
      </c>
      <c r="AN20" s="17"/>
      <c r="AO20" s="35">
        <f t="shared" si="4"/>
        <v>0</v>
      </c>
      <c r="AP20" s="40"/>
      <c r="AQ20" s="17">
        <v>0</v>
      </c>
      <c r="AR20" s="17"/>
      <c r="AS20" s="17">
        <v>0</v>
      </c>
      <c r="AT20" s="17"/>
      <c r="AU20" s="35">
        <f t="shared" si="5"/>
        <v>0</v>
      </c>
      <c r="AV20" s="96"/>
      <c r="AW20" s="17" t="s">
        <v>172</v>
      </c>
      <c r="AX20" s="96"/>
      <c r="AY20" s="35"/>
      <c r="AZ20" s="17"/>
      <c r="BA20" s="35">
        <v>0</v>
      </c>
      <c r="BB20" s="17"/>
      <c r="BC20" s="35">
        <v>0</v>
      </c>
      <c r="BD20" s="17"/>
      <c r="BE20" s="35"/>
      <c r="BF20" s="17"/>
      <c r="BG20" s="35">
        <f t="shared" si="6"/>
        <v>0</v>
      </c>
      <c r="BH20" s="79"/>
    </row>
    <row r="21" spans="1:60" ht="12.75" hidden="1">
      <c r="A21" s="77" t="s">
        <v>21</v>
      </c>
      <c r="B21" s="96"/>
      <c r="C21" s="35">
        <f t="shared" si="0"/>
        <v>0</v>
      </c>
      <c r="D21" s="35"/>
      <c r="E21" s="35"/>
      <c r="F21" s="35"/>
      <c r="G21" s="35"/>
      <c r="H21" s="35"/>
      <c r="I21" s="35">
        <f t="shared" si="1"/>
        <v>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>
        <f t="shared" si="2"/>
        <v>0</v>
      </c>
      <c r="V21" s="96"/>
      <c r="W21" s="81" t="s">
        <v>21</v>
      </c>
      <c r="X21" s="96"/>
      <c r="Y21" s="35"/>
      <c r="Z21" s="17"/>
      <c r="AA21" s="35"/>
      <c r="AB21" s="17"/>
      <c r="AC21" s="35"/>
      <c r="AD21" s="17"/>
      <c r="AE21" s="35">
        <f t="shared" si="3"/>
        <v>0</v>
      </c>
      <c r="AF21" s="40"/>
      <c r="AG21" s="35"/>
      <c r="AH21" s="40"/>
      <c r="AI21" s="35"/>
      <c r="AJ21" s="17"/>
      <c r="AK21" s="184">
        <v>0</v>
      </c>
      <c r="AL21" s="17"/>
      <c r="AM21" s="184">
        <v>0</v>
      </c>
      <c r="AN21" s="17"/>
      <c r="AO21" s="35">
        <f t="shared" si="4"/>
        <v>0</v>
      </c>
      <c r="AP21" s="40"/>
      <c r="AQ21" s="17">
        <v>0</v>
      </c>
      <c r="AR21" s="17"/>
      <c r="AS21" s="17">
        <v>0</v>
      </c>
      <c r="AT21" s="17"/>
      <c r="AU21" s="35">
        <f t="shared" si="5"/>
        <v>0</v>
      </c>
      <c r="AV21" s="96"/>
      <c r="AW21" s="81" t="s">
        <v>21</v>
      </c>
      <c r="AX21" s="96"/>
      <c r="AY21" s="35"/>
      <c r="AZ21" s="17"/>
      <c r="BA21" s="35">
        <v>0</v>
      </c>
      <c r="BB21" s="17"/>
      <c r="BC21" s="35">
        <v>0</v>
      </c>
      <c r="BD21" s="17"/>
      <c r="BE21" s="35"/>
      <c r="BF21" s="17"/>
      <c r="BG21" s="35">
        <f t="shared" si="6"/>
        <v>0</v>
      </c>
      <c r="BH21" s="79"/>
    </row>
    <row r="22" spans="1:60" ht="12.75" hidden="1">
      <c r="A22" s="77" t="s">
        <v>240</v>
      </c>
      <c r="B22" s="96"/>
      <c r="C22" s="35">
        <f t="shared" si="0"/>
        <v>0</v>
      </c>
      <c r="D22" s="35"/>
      <c r="E22" s="35"/>
      <c r="F22" s="35"/>
      <c r="G22" s="35"/>
      <c r="H22" s="35"/>
      <c r="I22" s="35">
        <f t="shared" si="1"/>
        <v>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f t="shared" si="2"/>
        <v>0</v>
      </c>
      <c r="V22" s="96"/>
      <c r="W22" s="81" t="s">
        <v>240</v>
      </c>
      <c r="X22" s="96"/>
      <c r="Y22" s="35"/>
      <c r="Z22" s="17"/>
      <c r="AA22" s="35"/>
      <c r="AB22" s="17"/>
      <c r="AC22" s="35"/>
      <c r="AD22" s="17"/>
      <c r="AE22" s="35">
        <f t="shared" si="3"/>
        <v>0</v>
      </c>
      <c r="AF22" s="40"/>
      <c r="AG22" s="35"/>
      <c r="AH22" s="40"/>
      <c r="AI22" s="35"/>
      <c r="AJ22" s="17"/>
      <c r="AK22" s="184">
        <v>0</v>
      </c>
      <c r="AL22" s="17"/>
      <c r="AM22" s="184">
        <v>0</v>
      </c>
      <c r="AN22" s="17"/>
      <c r="AO22" s="35">
        <f t="shared" si="4"/>
        <v>0</v>
      </c>
      <c r="AP22" s="40"/>
      <c r="AQ22" s="17">
        <v>0</v>
      </c>
      <c r="AR22" s="17"/>
      <c r="AS22" s="17">
        <v>0</v>
      </c>
      <c r="AT22" s="17"/>
      <c r="AU22" s="35">
        <f t="shared" si="5"/>
        <v>0</v>
      </c>
      <c r="AV22" s="96"/>
      <c r="AW22" s="81" t="s">
        <v>240</v>
      </c>
      <c r="AX22" s="96"/>
      <c r="AY22" s="35"/>
      <c r="AZ22" s="17"/>
      <c r="BA22" s="35">
        <v>0</v>
      </c>
      <c r="BB22" s="17"/>
      <c r="BC22" s="35">
        <v>0</v>
      </c>
      <c r="BD22" s="17"/>
      <c r="BE22" s="35"/>
      <c r="BF22" s="17"/>
      <c r="BG22" s="35">
        <f t="shared" si="6"/>
        <v>0</v>
      </c>
      <c r="BH22" s="79"/>
    </row>
    <row r="23" spans="1:60" ht="12.75" hidden="1">
      <c r="A23" s="77" t="s">
        <v>22</v>
      </c>
      <c r="B23" s="96"/>
      <c r="C23" s="35">
        <f t="shared" si="0"/>
        <v>0</v>
      </c>
      <c r="D23" s="35"/>
      <c r="E23" s="35"/>
      <c r="F23" s="35"/>
      <c r="G23" s="35"/>
      <c r="H23" s="35"/>
      <c r="I23" s="35">
        <f t="shared" si="1"/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>
        <f t="shared" si="2"/>
        <v>0</v>
      </c>
      <c r="V23" s="35"/>
      <c r="W23" s="81" t="s">
        <v>22</v>
      </c>
      <c r="X23" s="35"/>
      <c r="Y23" s="35"/>
      <c r="Z23" s="17"/>
      <c r="AA23" s="35"/>
      <c r="AB23" s="17"/>
      <c r="AC23" s="35"/>
      <c r="AD23" s="17"/>
      <c r="AE23" s="35">
        <f t="shared" si="3"/>
        <v>0</v>
      </c>
      <c r="AF23" s="40"/>
      <c r="AG23" s="35"/>
      <c r="AH23" s="40"/>
      <c r="AI23" s="35"/>
      <c r="AJ23" s="17"/>
      <c r="AK23" s="184">
        <v>0</v>
      </c>
      <c r="AL23" s="17"/>
      <c r="AM23" s="184">
        <v>0</v>
      </c>
      <c r="AN23" s="17"/>
      <c r="AO23" s="35">
        <f t="shared" si="4"/>
        <v>0</v>
      </c>
      <c r="AP23" s="40"/>
      <c r="AQ23" s="17">
        <v>0</v>
      </c>
      <c r="AR23" s="17"/>
      <c r="AS23" s="17">
        <v>0</v>
      </c>
      <c r="AT23" s="17"/>
      <c r="AU23" s="35">
        <f t="shared" si="5"/>
        <v>0</v>
      </c>
      <c r="AV23" s="17"/>
      <c r="AW23" s="81" t="s">
        <v>22</v>
      </c>
      <c r="AX23" s="17"/>
      <c r="AY23" s="35"/>
      <c r="AZ23" s="17"/>
      <c r="BA23" s="35">
        <v>0</v>
      </c>
      <c r="BB23" s="17"/>
      <c r="BC23" s="35">
        <v>0</v>
      </c>
      <c r="BD23" s="17"/>
      <c r="BE23" s="35"/>
      <c r="BF23" s="17"/>
      <c r="BG23" s="35">
        <f t="shared" si="6"/>
        <v>0</v>
      </c>
      <c r="BH23" s="79"/>
    </row>
    <row r="24" spans="1:60" ht="12.75" hidden="1">
      <c r="A24" s="77" t="s">
        <v>23</v>
      </c>
      <c r="B24" s="96"/>
      <c r="C24" s="35">
        <f t="shared" si="0"/>
        <v>0</v>
      </c>
      <c r="D24" s="35"/>
      <c r="E24" s="35"/>
      <c r="F24" s="35"/>
      <c r="G24" s="35"/>
      <c r="H24" s="35"/>
      <c r="I24" s="35">
        <f t="shared" si="1"/>
        <v>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>
        <f t="shared" si="2"/>
        <v>0</v>
      </c>
      <c r="V24" s="35"/>
      <c r="W24" s="81" t="s">
        <v>23</v>
      </c>
      <c r="X24" s="35"/>
      <c r="Y24" s="35"/>
      <c r="Z24" s="17"/>
      <c r="AA24" s="35"/>
      <c r="AB24" s="17"/>
      <c r="AC24" s="35"/>
      <c r="AD24" s="17"/>
      <c r="AE24" s="35">
        <f t="shared" si="3"/>
        <v>0</v>
      </c>
      <c r="AF24" s="40"/>
      <c r="AG24" s="35"/>
      <c r="AH24" s="40"/>
      <c r="AI24" s="35"/>
      <c r="AJ24" s="17"/>
      <c r="AK24" s="184">
        <v>0</v>
      </c>
      <c r="AL24" s="17"/>
      <c r="AM24" s="184">
        <v>0</v>
      </c>
      <c r="AN24" s="17"/>
      <c r="AO24" s="35">
        <f t="shared" si="4"/>
        <v>0</v>
      </c>
      <c r="AP24" s="40"/>
      <c r="AQ24" s="17">
        <v>0</v>
      </c>
      <c r="AR24" s="17"/>
      <c r="AS24" s="17">
        <v>0</v>
      </c>
      <c r="AT24" s="17"/>
      <c r="AU24" s="35">
        <f t="shared" si="5"/>
        <v>0</v>
      </c>
      <c r="AV24" s="17"/>
      <c r="AW24" s="81" t="s">
        <v>23</v>
      </c>
      <c r="AX24" s="17"/>
      <c r="AY24" s="35"/>
      <c r="AZ24" s="17"/>
      <c r="BA24" s="35">
        <v>0</v>
      </c>
      <c r="BB24" s="17"/>
      <c r="BC24" s="35">
        <v>0</v>
      </c>
      <c r="BD24" s="17"/>
      <c r="BE24" s="35"/>
      <c r="BF24" s="17"/>
      <c r="BG24" s="35">
        <f t="shared" si="6"/>
        <v>0</v>
      </c>
      <c r="BH24" s="79"/>
    </row>
    <row r="25" spans="1:60" ht="12.75" hidden="1">
      <c r="A25" s="77" t="s">
        <v>24</v>
      </c>
      <c r="B25" s="96"/>
      <c r="C25" s="35">
        <f t="shared" si="0"/>
        <v>0</v>
      </c>
      <c r="D25" s="35"/>
      <c r="E25" s="35"/>
      <c r="F25" s="35"/>
      <c r="G25" s="35"/>
      <c r="H25" s="35"/>
      <c r="I25" s="35">
        <f t="shared" si="1"/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f t="shared" si="2"/>
        <v>0</v>
      </c>
      <c r="V25" s="35"/>
      <c r="W25" s="81" t="s">
        <v>24</v>
      </c>
      <c r="X25" s="35"/>
      <c r="Y25" s="35"/>
      <c r="Z25" s="17"/>
      <c r="AA25" s="35"/>
      <c r="AB25" s="17"/>
      <c r="AC25" s="35"/>
      <c r="AD25" s="17"/>
      <c r="AE25" s="35">
        <f t="shared" si="3"/>
        <v>0</v>
      </c>
      <c r="AF25" s="40"/>
      <c r="AG25" s="35"/>
      <c r="AH25" s="40"/>
      <c r="AI25" s="35"/>
      <c r="AJ25" s="17"/>
      <c r="AK25" s="184">
        <v>0</v>
      </c>
      <c r="AL25" s="17"/>
      <c r="AM25" s="184">
        <v>0</v>
      </c>
      <c r="AN25" s="17"/>
      <c r="AO25" s="35">
        <f t="shared" si="4"/>
        <v>0</v>
      </c>
      <c r="AP25" s="40"/>
      <c r="AQ25" s="17">
        <v>0</v>
      </c>
      <c r="AR25" s="17"/>
      <c r="AS25" s="17">
        <v>0</v>
      </c>
      <c r="AT25" s="17"/>
      <c r="AU25" s="35">
        <f t="shared" si="5"/>
        <v>0</v>
      </c>
      <c r="AV25" s="17"/>
      <c r="AW25" s="81" t="s">
        <v>24</v>
      </c>
      <c r="AX25" s="17"/>
      <c r="AY25" s="35"/>
      <c r="AZ25" s="17"/>
      <c r="BA25" s="35">
        <v>0</v>
      </c>
      <c r="BB25" s="17"/>
      <c r="BC25" s="35">
        <v>0</v>
      </c>
      <c r="BD25" s="17"/>
      <c r="BE25" s="35"/>
      <c r="BF25" s="17"/>
      <c r="BG25" s="35">
        <f t="shared" si="6"/>
        <v>0</v>
      </c>
      <c r="BH25" s="79"/>
    </row>
    <row r="26" spans="1:60" ht="12.75" hidden="1">
      <c r="A26" s="77" t="s">
        <v>241</v>
      </c>
      <c r="B26" s="96"/>
      <c r="C26" s="35">
        <f t="shared" si="0"/>
        <v>0</v>
      </c>
      <c r="D26" s="35"/>
      <c r="E26" s="35"/>
      <c r="F26" s="35"/>
      <c r="G26" s="35"/>
      <c r="H26" s="35"/>
      <c r="I26" s="35">
        <f t="shared" si="1"/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>
        <f t="shared" si="2"/>
        <v>0</v>
      </c>
      <c r="V26" s="35"/>
      <c r="W26" s="81" t="s">
        <v>178</v>
      </c>
      <c r="X26" s="35"/>
      <c r="Y26" s="35"/>
      <c r="Z26" s="17"/>
      <c r="AA26" s="35"/>
      <c r="AB26" s="17"/>
      <c r="AC26" s="35"/>
      <c r="AD26" s="17"/>
      <c r="AE26" s="35">
        <f t="shared" si="3"/>
        <v>0</v>
      </c>
      <c r="AF26" s="40"/>
      <c r="AG26" s="35"/>
      <c r="AH26" s="40"/>
      <c r="AI26" s="35"/>
      <c r="AJ26" s="17"/>
      <c r="AK26" s="184">
        <v>0</v>
      </c>
      <c r="AL26" s="17"/>
      <c r="AM26" s="184">
        <v>0</v>
      </c>
      <c r="AN26" s="17"/>
      <c r="AO26" s="35">
        <f t="shared" si="4"/>
        <v>0</v>
      </c>
      <c r="AP26" s="40"/>
      <c r="AQ26" s="17">
        <v>0</v>
      </c>
      <c r="AR26" s="17"/>
      <c r="AS26" s="17">
        <v>0</v>
      </c>
      <c r="AT26" s="17"/>
      <c r="AU26" s="35">
        <f t="shared" si="5"/>
        <v>0</v>
      </c>
      <c r="AV26" s="17"/>
      <c r="AW26" s="81" t="s">
        <v>178</v>
      </c>
      <c r="AX26" s="17"/>
      <c r="AY26" s="35"/>
      <c r="AZ26" s="17"/>
      <c r="BA26" s="35">
        <v>0</v>
      </c>
      <c r="BB26" s="17"/>
      <c r="BC26" s="35">
        <v>0</v>
      </c>
      <c r="BD26" s="17"/>
      <c r="BE26" s="35"/>
      <c r="BF26" s="17"/>
      <c r="BG26" s="35">
        <f t="shared" si="6"/>
        <v>0</v>
      </c>
      <c r="BH26" s="79"/>
    </row>
    <row r="27" spans="1:60" ht="12.75" hidden="1">
      <c r="A27" s="77" t="s">
        <v>25</v>
      </c>
      <c r="B27" s="96"/>
      <c r="C27" s="35">
        <f aca="true" t="shared" si="7" ref="C27:C90">G27-E27</f>
        <v>0</v>
      </c>
      <c r="D27" s="35"/>
      <c r="E27" s="35"/>
      <c r="F27" s="35"/>
      <c r="G27" s="35"/>
      <c r="H27" s="35"/>
      <c r="I27" s="35">
        <f aca="true" t="shared" si="8" ref="I27:I74">M27-K27</f>
        <v>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>
        <f aca="true" t="shared" si="9" ref="U27:U74">SUM(O27:S27)</f>
        <v>0</v>
      </c>
      <c r="V27" s="35"/>
      <c r="W27" s="81" t="s">
        <v>25</v>
      </c>
      <c r="X27" s="35"/>
      <c r="Y27" s="35"/>
      <c r="Z27" s="17"/>
      <c r="AA27" s="35"/>
      <c r="AB27" s="17"/>
      <c r="AC27" s="35"/>
      <c r="AD27" s="17"/>
      <c r="AE27" s="35">
        <f aca="true" t="shared" si="10" ref="AE27:AE74">+Y27-AA27-AC27</f>
        <v>0</v>
      </c>
      <c r="AF27" s="40"/>
      <c r="AG27" s="35"/>
      <c r="AH27" s="40"/>
      <c r="AI27" s="35"/>
      <c r="AJ27" s="17"/>
      <c r="AK27" s="184">
        <v>0</v>
      </c>
      <c r="AL27" s="17"/>
      <c r="AM27" s="184">
        <v>0</v>
      </c>
      <c r="AN27" s="17"/>
      <c r="AO27" s="35">
        <f aca="true" t="shared" si="11" ref="AO27:AO74">+AE27+AG27+AI27-AK27+AM27</f>
        <v>0</v>
      </c>
      <c r="AP27" s="40"/>
      <c r="AQ27" s="17">
        <v>0</v>
      </c>
      <c r="AR27" s="17"/>
      <c r="AS27" s="17">
        <v>0</v>
      </c>
      <c r="AT27" s="17"/>
      <c r="AU27" s="35">
        <f aca="true" t="shared" si="12" ref="AU27:AU74">+C27-I27</f>
        <v>0</v>
      </c>
      <c r="AV27" s="17"/>
      <c r="AW27" s="81" t="s">
        <v>25</v>
      </c>
      <c r="AX27" s="17"/>
      <c r="AY27" s="35"/>
      <c r="AZ27" s="17"/>
      <c r="BA27" s="35">
        <v>0</v>
      </c>
      <c r="BB27" s="17"/>
      <c r="BC27" s="35">
        <v>0</v>
      </c>
      <c r="BD27" s="17"/>
      <c r="BE27" s="35"/>
      <c r="BF27" s="17"/>
      <c r="BG27" s="35">
        <f aca="true" t="shared" si="13" ref="BG27:BG90">SUM(AY27:BE27)</f>
        <v>0</v>
      </c>
      <c r="BH27" s="79"/>
    </row>
    <row r="28" spans="1:60" ht="12.75" hidden="1">
      <c r="A28" s="77" t="s">
        <v>26</v>
      </c>
      <c r="B28" s="96"/>
      <c r="C28" s="35">
        <f t="shared" si="7"/>
        <v>0</v>
      </c>
      <c r="D28" s="35"/>
      <c r="E28" s="35"/>
      <c r="F28" s="35"/>
      <c r="G28" s="35"/>
      <c r="H28" s="35"/>
      <c r="I28" s="35">
        <f t="shared" si="8"/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>
        <f t="shared" si="9"/>
        <v>0</v>
      </c>
      <c r="V28" s="96"/>
      <c r="W28" s="81" t="s">
        <v>26</v>
      </c>
      <c r="X28" s="96"/>
      <c r="Y28" s="35"/>
      <c r="Z28" s="17"/>
      <c r="AA28" s="35"/>
      <c r="AB28" s="17"/>
      <c r="AC28" s="35"/>
      <c r="AD28" s="17"/>
      <c r="AE28" s="35">
        <f t="shared" si="10"/>
        <v>0</v>
      </c>
      <c r="AF28" s="40"/>
      <c r="AG28" s="35"/>
      <c r="AH28" s="40"/>
      <c r="AI28" s="35"/>
      <c r="AJ28" s="17"/>
      <c r="AK28" s="184">
        <v>0</v>
      </c>
      <c r="AL28" s="17"/>
      <c r="AM28" s="184">
        <v>0</v>
      </c>
      <c r="AN28" s="17"/>
      <c r="AO28" s="35">
        <f t="shared" si="11"/>
        <v>0</v>
      </c>
      <c r="AP28" s="40"/>
      <c r="AQ28" s="17">
        <v>0</v>
      </c>
      <c r="AR28" s="17"/>
      <c r="AS28" s="17">
        <v>0</v>
      </c>
      <c r="AT28" s="17"/>
      <c r="AU28" s="35">
        <f t="shared" si="12"/>
        <v>0</v>
      </c>
      <c r="AV28" s="96"/>
      <c r="AW28" s="81" t="s">
        <v>26</v>
      </c>
      <c r="AX28" s="96"/>
      <c r="AY28" s="35"/>
      <c r="AZ28" s="17"/>
      <c r="BA28" s="35">
        <v>0</v>
      </c>
      <c r="BB28" s="17"/>
      <c r="BC28" s="35">
        <v>0</v>
      </c>
      <c r="BD28" s="17"/>
      <c r="BE28" s="35"/>
      <c r="BF28" s="17"/>
      <c r="BG28" s="35">
        <f t="shared" si="13"/>
        <v>0</v>
      </c>
      <c r="BH28" s="79"/>
    </row>
    <row r="29" spans="1:60" ht="12.75">
      <c r="A29" s="77" t="s">
        <v>27</v>
      </c>
      <c r="B29" s="96"/>
      <c r="C29" s="35">
        <f t="shared" si="7"/>
        <v>10308770</v>
      </c>
      <c r="D29" s="35"/>
      <c r="E29" s="35">
        <v>10959915</v>
      </c>
      <c r="F29" s="35"/>
      <c r="G29" s="35">
        <v>21268685</v>
      </c>
      <c r="H29" s="35"/>
      <c r="I29" s="35">
        <f t="shared" si="8"/>
        <v>174302</v>
      </c>
      <c r="J29" s="35"/>
      <c r="K29" s="35">
        <v>3821357</v>
      </c>
      <c r="L29" s="35"/>
      <c r="M29" s="35">
        <v>3995659</v>
      </c>
      <c r="N29" s="35"/>
      <c r="O29" s="35">
        <v>5383173</v>
      </c>
      <c r="P29" s="35"/>
      <c r="Q29" s="35">
        <v>1798828</v>
      </c>
      <c r="R29" s="35"/>
      <c r="S29" s="35">
        <v>10091025</v>
      </c>
      <c r="T29" s="35"/>
      <c r="U29" s="35">
        <f t="shared" si="9"/>
        <v>17273026</v>
      </c>
      <c r="V29" s="35"/>
      <c r="W29" s="81" t="s">
        <v>27</v>
      </c>
      <c r="X29" s="35"/>
      <c r="Y29" s="35">
        <v>3148681</v>
      </c>
      <c r="Z29" s="17"/>
      <c r="AA29" s="35">
        <f>2065024-243769</f>
        <v>1821255</v>
      </c>
      <c r="AB29" s="17"/>
      <c r="AC29" s="35">
        <v>243769</v>
      </c>
      <c r="AD29" s="17"/>
      <c r="AE29" s="35">
        <f t="shared" si="10"/>
        <v>1083657</v>
      </c>
      <c r="AF29" s="40"/>
      <c r="AG29" s="35">
        <v>68592</v>
      </c>
      <c r="AH29" s="40"/>
      <c r="AI29" s="35">
        <v>395062</v>
      </c>
      <c r="AJ29" s="17"/>
      <c r="AK29" s="184">
        <v>0</v>
      </c>
      <c r="AL29" s="17"/>
      <c r="AM29" s="184">
        <v>0</v>
      </c>
      <c r="AN29" s="17"/>
      <c r="AO29" s="35">
        <f t="shared" si="11"/>
        <v>1547311</v>
      </c>
      <c r="AP29" s="40"/>
      <c r="AQ29" s="17">
        <v>0</v>
      </c>
      <c r="AR29" s="17"/>
      <c r="AS29" s="17">
        <v>0</v>
      </c>
      <c r="AT29" s="17"/>
      <c r="AU29" s="35">
        <f t="shared" si="12"/>
        <v>10134468</v>
      </c>
      <c r="AV29" s="17"/>
      <c r="AW29" s="81" t="s">
        <v>27</v>
      </c>
      <c r="AX29" s="17"/>
      <c r="AY29" s="35">
        <v>0</v>
      </c>
      <c r="AZ29" s="17"/>
      <c r="BA29" s="35">
        <v>0</v>
      </c>
      <c r="BB29" s="17"/>
      <c r="BC29" s="35">
        <v>0</v>
      </c>
      <c r="BD29" s="17"/>
      <c r="BE29" s="35">
        <v>3821357</v>
      </c>
      <c r="BF29" s="17"/>
      <c r="BG29" s="35">
        <f t="shared" si="13"/>
        <v>3821357</v>
      </c>
      <c r="BH29" s="79"/>
    </row>
    <row r="30" spans="1:60" ht="12.75" customHeight="1" hidden="1">
      <c r="A30" s="77" t="s">
        <v>28</v>
      </c>
      <c r="B30" s="96"/>
      <c r="C30" s="35">
        <f t="shared" si="7"/>
        <v>0</v>
      </c>
      <c r="D30" s="35"/>
      <c r="E30" s="35"/>
      <c r="F30" s="35"/>
      <c r="G30" s="35"/>
      <c r="H30" s="35"/>
      <c r="I30" s="35">
        <f t="shared" si="8"/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>
        <f t="shared" si="9"/>
        <v>0</v>
      </c>
      <c r="V30" s="96"/>
      <c r="W30" s="81" t="s">
        <v>28</v>
      </c>
      <c r="X30" s="96"/>
      <c r="Y30" s="35"/>
      <c r="Z30" s="17"/>
      <c r="AA30" s="35"/>
      <c r="AB30" s="17"/>
      <c r="AC30" s="35"/>
      <c r="AD30" s="17"/>
      <c r="AE30" s="35">
        <f t="shared" si="10"/>
        <v>0</v>
      </c>
      <c r="AF30" s="40"/>
      <c r="AG30" s="35"/>
      <c r="AH30" s="40"/>
      <c r="AI30" s="35"/>
      <c r="AJ30" s="17"/>
      <c r="AK30" s="184">
        <v>0</v>
      </c>
      <c r="AL30" s="17"/>
      <c r="AM30" s="184">
        <v>0</v>
      </c>
      <c r="AN30" s="17"/>
      <c r="AO30" s="35">
        <f t="shared" si="11"/>
        <v>0</v>
      </c>
      <c r="AP30" s="40"/>
      <c r="AQ30" s="17">
        <v>0</v>
      </c>
      <c r="AR30" s="17"/>
      <c r="AS30" s="17">
        <v>0</v>
      </c>
      <c r="AT30" s="17"/>
      <c r="AU30" s="35">
        <f t="shared" si="12"/>
        <v>0</v>
      </c>
      <c r="AV30" s="96"/>
      <c r="AW30" s="81" t="s">
        <v>28</v>
      </c>
      <c r="AX30" s="96"/>
      <c r="AY30" s="35"/>
      <c r="AZ30" s="17"/>
      <c r="BA30" s="35">
        <v>0</v>
      </c>
      <c r="BB30" s="17"/>
      <c r="BC30" s="35">
        <v>0</v>
      </c>
      <c r="BD30" s="17"/>
      <c r="BE30" s="35"/>
      <c r="BF30" s="17"/>
      <c r="BG30" s="35">
        <f t="shared" si="13"/>
        <v>0</v>
      </c>
      <c r="BH30" s="79"/>
    </row>
    <row r="31" spans="1:60" ht="12.75">
      <c r="A31" s="77" t="s">
        <v>29</v>
      </c>
      <c r="B31" s="96"/>
      <c r="C31" s="35">
        <f t="shared" si="7"/>
        <v>7998175</v>
      </c>
      <c r="D31" s="35"/>
      <c r="E31" s="35">
        <v>6159320</v>
      </c>
      <c r="F31" s="35"/>
      <c r="G31" s="35">
        <v>14157495</v>
      </c>
      <c r="H31" s="35"/>
      <c r="I31" s="35">
        <f t="shared" si="8"/>
        <v>1341752</v>
      </c>
      <c r="J31" s="35"/>
      <c r="K31" s="35">
        <v>32065137</v>
      </c>
      <c r="L31" s="35"/>
      <c r="M31" s="35">
        <v>33406889</v>
      </c>
      <c r="N31" s="35"/>
      <c r="O31" s="35">
        <v>-10776092</v>
      </c>
      <c r="P31" s="35"/>
      <c r="Q31" s="35">
        <v>0</v>
      </c>
      <c r="R31" s="35"/>
      <c r="S31" s="35">
        <v>-8473302</v>
      </c>
      <c r="T31" s="35"/>
      <c r="U31" s="35">
        <f t="shared" si="9"/>
        <v>-19249394</v>
      </c>
      <c r="V31" s="35"/>
      <c r="W31" s="81" t="s">
        <v>29</v>
      </c>
      <c r="X31" s="35"/>
      <c r="Y31" s="35">
        <v>6041782</v>
      </c>
      <c r="Z31" s="17"/>
      <c r="AA31" s="35">
        <f>3601184-374076</f>
        <v>3227108</v>
      </c>
      <c r="AB31" s="17"/>
      <c r="AC31" s="35">
        <v>374076</v>
      </c>
      <c r="AD31" s="17"/>
      <c r="AE31" s="35">
        <f t="shared" si="10"/>
        <v>2440598</v>
      </c>
      <c r="AF31" s="40"/>
      <c r="AG31" s="35">
        <v>-725647</v>
      </c>
      <c r="AH31" s="40"/>
      <c r="AI31" s="35">
        <v>0</v>
      </c>
      <c r="AJ31" s="17"/>
      <c r="AK31" s="184">
        <v>0</v>
      </c>
      <c r="AL31" s="17"/>
      <c r="AM31" s="184">
        <v>0</v>
      </c>
      <c r="AN31" s="17"/>
      <c r="AO31" s="35">
        <f t="shared" si="11"/>
        <v>1714951</v>
      </c>
      <c r="AP31" s="40"/>
      <c r="AQ31" s="17">
        <v>0</v>
      </c>
      <c r="AR31" s="17"/>
      <c r="AS31" s="17">
        <v>0</v>
      </c>
      <c r="AT31" s="17"/>
      <c r="AU31" s="35">
        <f t="shared" si="12"/>
        <v>6656423</v>
      </c>
      <c r="AV31" s="17"/>
      <c r="AW31" s="81" t="s">
        <v>29</v>
      </c>
      <c r="AX31" s="17"/>
      <c r="AY31" s="35">
        <v>15952170</v>
      </c>
      <c r="AZ31" s="17"/>
      <c r="BA31" s="35">
        <v>0</v>
      </c>
      <c r="BB31" s="17"/>
      <c r="BC31" s="35">
        <v>0</v>
      </c>
      <c r="BD31" s="17"/>
      <c r="BE31" s="35">
        <f>25118+16087849</f>
        <v>16112967</v>
      </c>
      <c r="BF31" s="17"/>
      <c r="BG31" s="35">
        <f t="shared" si="13"/>
        <v>32065137</v>
      </c>
      <c r="BH31" s="79"/>
    </row>
    <row r="32" spans="1:60" ht="12.75" customHeight="1" hidden="1">
      <c r="A32" s="77" t="s">
        <v>30</v>
      </c>
      <c r="B32" s="96"/>
      <c r="C32" s="35">
        <f t="shared" si="7"/>
        <v>0</v>
      </c>
      <c r="D32" s="35"/>
      <c r="E32" s="24"/>
      <c r="F32" s="35"/>
      <c r="G32" s="24"/>
      <c r="H32" s="35"/>
      <c r="I32" s="35">
        <f t="shared" si="8"/>
        <v>0</v>
      </c>
      <c r="J32" s="35"/>
      <c r="K32" s="24"/>
      <c r="L32" s="35"/>
      <c r="M32" s="24"/>
      <c r="N32" s="35"/>
      <c r="O32" s="24"/>
      <c r="P32" s="35"/>
      <c r="Q32" s="24"/>
      <c r="R32" s="35"/>
      <c r="S32" s="24"/>
      <c r="T32" s="35"/>
      <c r="U32" s="35">
        <f t="shared" si="9"/>
        <v>0</v>
      </c>
      <c r="V32" s="96"/>
      <c r="W32" s="81" t="s">
        <v>30</v>
      </c>
      <c r="X32" s="96"/>
      <c r="Y32" s="24"/>
      <c r="Z32" s="17"/>
      <c r="AA32" s="24"/>
      <c r="AB32" s="17"/>
      <c r="AC32" s="24"/>
      <c r="AD32" s="17"/>
      <c r="AE32" s="35">
        <f t="shared" si="10"/>
        <v>0</v>
      </c>
      <c r="AF32" s="40"/>
      <c r="AG32" s="24"/>
      <c r="AH32" s="40"/>
      <c r="AI32" s="24"/>
      <c r="AJ32" s="17"/>
      <c r="AK32" s="184">
        <v>0</v>
      </c>
      <c r="AL32" s="17"/>
      <c r="AM32" s="184">
        <v>0</v>
      </c>
      <c r="AN32" s="17"/>
      <c r="AO32" s="35">
        <f t="shared" si="11"/>
        <v>0</v>
      </c>
      <c r="AP32" s="40"/>
      <c r="AQ32" s="17">
        <v>0</v>
      </c>
      <c r="AR32" s="17"/>
      <c r="AS32" s="17">
        <v>0</v>
      </c>
      <c r="AT32" s="17"/>
      <c r="AU32" s="35">
        <f t="shared" si="12"/>
        <v>0</v>
      </c>
      <c r="AV32" s="96"/>
      <c r="AW32" s="81" t="s">
        <v>30</v>
      </c>
      <c r="AX32" s="96"/>
      <c r="AY32" s="24"/>
      <c r="AZ32" s="17"/>
      <c r="BA32" s="35">
        <v>0</v>
      </c>
      <c r="BB32" s="17"/>
      <c r="BC32" s="35">
        <v>0</v>
      </c>
      <c r="BD32" s="17"/>
      <c r="BE32" s="24"/>
      <c r="BF32" s="17"/>
      <c r="BG32" s="35">
        <f t="shared" si="13"/>
        <v>0</v>
      </c>
      <c r="BH32" s="79"/>
    </row>
    <row r="33" spans="1:60" ht="12.75" customHeight="1" hidden="1">
      <c r="A33" s="77" t="s">
        <v>31</v>
      </c>
      <c r="B33" s="96"/>
      <c r="C33" s="35">
        <f t="shared" si="7"/>
        <v>0</v>
      </c>
      <c r="D33" s="35"/>
      <c r="E33" s="24"/>
      <c r="F33" s="35"/>
      <c r="G33" s="24"/>
      <c r="H33" s="35"/>
      <c r="I33" s="35">
        <f t="shared" si="8"/>
        <v>0</v>
      </c>
      <c r="J33" s="35"/>
      <c r="K33" s="24"/>
      <c r="L33" s="35"/>
      <c r="M33" s="24"/>
      <c r="N33" s="35"/>
      <c r="O33" s="24"/>
      <c r="P33" s="35"/>
      <c r="Q33" s="24"/>
      <c r="R33" s="35"/>
      <c r="S33" s="24"/>
      <c r="T33" s="35"/>
      <c r="U33" s="35">
        <f t="shared" si="9"/>
        <v>0</v>
      </c>
      <c r="V33" s="96"/>
      <c r="W33" s="81" t="s">
        <v>31</v>
      </c>
      <c r="X33" s="96"/>
      <c r="Y33" s="24"/>
      <c r="Z33" s="17"/>
      <c r="AA33" s="24"/>
      <c r="AB33" s="17"/>
      <c r="AC33" s="24"/>
      <c r="AD33" s="17"/>
      <c r="AE33" s="35">
        <f t="shared" si="10"/>
        <v>0</v>
      </c>
      <c r="AF33" s="40"/>
      <c r="AG33" s="24"/>
      <c r="AH33" s="40"/>
      <c r="AI33" s="24"/>
      <c r="AJ33" s="17"/>
      <c r="AK33" s="184">
        <v>0</v>
      </c>
      <c r="AL33" s="17"/>
      <c r="AM33" s="184">
        <v>0</v>
      </c>
      <c r="AN33" s="17"/>
      <c r="AO33" s="35">
        <f t="shared" si="11"/>
        <v>0</v>
      </c>
      <c r="AP33" s="40"/>
      <c r="AQ33" s="17">
        <v>0</v>
      </c>
      <c r="AR33" s="17"/>
      <c r="AS33" s="17">
        <v>0</v>
      </c>
      <c r="AT33" s="17"/>
      <c r="AU33" s="35">
        <f t="shared" si="12"/>
        <v>0</v>
      </c>
      <c r="AV33" s="96"/>
      <c r="AW33" s="81" t="s">
        <v>31</v>
      </c>
      <c r="AX33" s="96"/>
      <c r="AY33" s="24"/>
      <c r="AZ33" s="17"/>
      <c r="BA33" s="35">
        <v>0</v>
      </c>
      <c r="BB33" s="17"/>
      <c r="BC33" s="35">
        <v>0</v>
      </c>
      <c r="BD33" s="17"/>
      <c r="BE33" s="24"/>
      <c r="BF33" s="17"/>
      <c r="BG33" s="35">
        <f t="shared" si="13"/>
        <v>0</v>
      </c>
      <c r="BH33" s="79"/>
    </row>
    <row r="34" spans="1:60" ht="12.75" customHeight="1" hidden="1">
      <c r="A34" s="77" t="s">
        <v>32</v>
      </c>
      <c r="B34" s="96"/>
      <c r="C34" s="35">
        <f t="shared" si="7"/>
        <v>0</v>
      </c>
      <c r="D34" s="35"/>
      <c r="E34" s="24"/>
      <c r="F34" s="35"/>
      <c r="G34" s="24"/>
      <c r="H34" s="35"/>
      <c r="I34" s="35">
        <f t="shared" si="8"/>
        <v>0</v>
      </c>
      <c r="J34" s="35"/>
      <c r="K34" s="24"/>
      <c r="L34" s="35"/>
      <c r="M34" s="24"/>
      <c r="N34" s="35"/>
      <c r="O34" s="24"/>
      <c r="P34" s="35"/>
      <c r="Q34" s="24"/>
      <c r="R34" s="35"/>
      <c r="S34" s="24"/>
      <c r="T34" s="35"/>
      <c r="U34" s="35">
        <f t="shared" si="9"/>
        <v>0</v>
      </c>
      <c r="V34" s="96"/>
      <c r="W34" s="81" t="s">
        <v>32</v>
      </c>
      <c r="X34" s="96"/>
      <c r="Y34" s="24"/>
      <c r="Z34" s="17"/>
      <c r="AA34" s="24"/>
      <c r="AB34" s="17"/>
      <c r="AC34" s="24"/>
      <c r="AD34" s="17"/>
      <c r="AE34" s="35">
        <f t="shared" si="10"/>
        <v>0</v>
      </c>
      <c r="AF34" s="40"/>
      <c r="AG34" s="24"/>
      <c r="AH34" s="40"/>
      <c r="AI34" s="24"/>
      <c r="AJ34" s="17"/>
      <c r="AK34" s="184">
        <v>0</v>
      </c>
      <c r="AL34" s="17"/>
      <c r="AM34" s="184">
        <v>0</v>
      </c>
      <c r="AN34" s="17"/>
      <c r="AO34" s="35">
        <f t="shared" si="11"/>
        <v>0</v>
      </c>
      <c r="AP34" s="40"/>
      <c r="AQ34" s="17">
        <v>0</v>
      </c>
      <c r="AR34" s="17"/>
      <c r="AS34" s="17">
        <v>0</v>
      </c>
      <c r="AT34" s="17"/>
      <c r="AU34" s="35">
        <f t="shared" si="12"/>
        <v>0</v>
      </c>
      <c r="AV34" s="96"/>
      <c r="AW34" s="81" t="s">
        <v>32</v>
      </c>
      <c r="AX34" s="96"/>
      <c r="AY34" s="24"/>
      <c r="AZ34" s="17"/>
      <c r="BA34" s="35">
        <v>0</v>
      </c>
      <c r="BB34" s="17"/>
      <c r="BC34" s="35">
        <v>0</v>
      </c>
      <c r="BD34" s="17"/>
      <c r="BE34" s="24"/>
      <c r="BF34" s="17"/>
      <c r="BG34" s="35">
        <f t="shared" si="13"/>
        <v>0</v>
      </c>
      <c r="BH34" s="79"/>
    </row>
    <row r="35" spans="1:60" ht="12.75" customHeight="1" hidden="1">
      <c r="A35" s="77" t="s">
        <v>33</v>
      </c>
      <c r="B35" s="96"/>
      <c r="C35" s="35">
        <f t="shared" si="7"/>
        <v>0</v>
      </c>
      <c r="D35" s="35"/>
      <c r="E35" s="24"/>
      <c r="F35" s="35"/>
      <c r="G35" s="24"/>
      <c r="H35" s="35"/>
      <c r="I35" s="35">
        <f t="shared" si="8"/>
        <v>0</v>
      </c>
      <c r="J35" s="35"/>
      <c r="K35" s="24"/>
      <c r="L35" s="35"/>
      <c r="M35" s="24"/>
      <c r="N35" s="35"/>
      <c r="O35" s="24"/>
      <c r="P35" s="35"/>
      <c r="Q35" s="24"/>
      <c r="R35" s="35"/>
      <c r="S35" s="24"/>
      <c r="T35" s="35"/>
      <c r="U35" s="35">
        <f t="shared" si="9"/>
        <v>0</v>
      </c>
      <c r="V35" s="35"/>
      <c r="W35" s="81" t="s">
        <v>33</v>
      </c>
      <c r="X35" s="35"/>
      <c r="Y35" s="24"/>
      <c r="Z35" s="17"/>
      <c r="AA35" s="24"/>
      <c r="AB35" s="17"/>
      <c r="AC35" s="24"/>
      <c r="AD35" s="17"/>
      <c r="AE35" s="35">
        <f t="shared" si="10"/>
        <v>0</v>
      </c>
      <c r="AF35" s="40"/>
      <c r="AG35" s="24"/>
      <c r="AH35" s="40"/>
      <c r="AI35" s="24"/>
      <c r="AJ35" s="17"/>
      <c r="AK35" s="184">
        <v>0</v>
      </c>
      <c r="AL35" s="17"/>
      <c r="AM35" s="184">
        <v>0</v>
      </c>
      <c r="AN35" s="17"/>
      <c r="AO35" s="35">
        <f t="shared" si="11"/>
        <v>0</v>
      </c>
      <c r="AP35" s="40"/>
      <c r="AQ35" s="17">
        <v>0</v>
      </c>
      <c r="AR35" s="17"/>
      <c r="AS35" s="17">
        <v>0</v>
      </c>
      <c r="AT35" s="17"/>
      <c r="AU35" s="35">
        <f t="shared" si="12"/>
        <v>0</v>
      </c>
      <c r="AV35" s="17"/>
      <c r="AW35" s="81" t="s">
        <v>33</v>
      </c>
      <c r="AX35" s="17"/>
      <c r="AY35" s="24"/>
      <c r="AZ35" s="17"/>
      <c r="BA35" s="35">
        <v>0</v>
      </c>
      <c r="BB35" s="17"/>
      <c r="BC35" s="35">
        <v>0</v>
      </c>
      <c r="BD35" s="17"/>
      <c r="BE35" s="24"/>
      <c r="BF35" s="17"/>
      <c r="BG35" s="35">
        <f t="shared" si="13"/>
        <v>0</v>
      </c>
      <c r="BH35" s="79"/>
    </row>
    <row r="36" spans="1:60" ht="12.75" customHeight="1" hidden="1">
      <c r="A36" s="77" t="s">
        <v>34</v>
      </c>
      <c r="B36" s="96"/>
      <c r="C36" s="35">
        <f t="shared" si="7"/>
        <v>0</v>
      </c>
      <c r="D36" s="35"/>
      <c r="E36" s="24"/>
      <c r="F36" s="35"/>
      <c r="G36" s="24"/>
      <c r="H36" s="35"/>
      <c r="I36" s="35">
        <f t="shared" si="8"/>
        <v>0</v>
      </c>
      <c r="J36" s="35"/>
      <c r="K36" s="24"/>
      <c r="L36" s="35"/>
      <c r="M36" s="24"/>
      <c r="N36" s="35"/>
      <c r="O36" s="24"/>
      <c r="P36" s="35"/>
      <c r="Q36" s="24"/>
      <c r="R36" s="35"/>
      <c r="S36" s="24"/>
      <c r="T36" s="35"/>
      <c r="U36" s="35">
        <f t="shared" si="9"/>
        <v>0</v>
      </c>
      <c r="V36" s="35"/>
      <c r="W36" s="81" t="s">
        <v>34</v>
      </c>
      <c r="X36" s="35"/>
      <c r="Y36" s="24"/>
      <c r="Z36" s="17"/>
      <c r="AA36" s="24"/>
      <c r="AB36" s="17"/>
      <c r="AC36" s="24"/>
      <c r="AD36" s="17"/>
      <c r="AE36" s="35">
        <f t="shared" si="10"/>
        <v>0</v>
      </c>
      <c r="AF36" s="40"/>
      <c r="AG36" s="24"/>
      <c r="AH36" s="40"/>
      <c r="AI36" s="24"/>
      <c r="AJ36" s="17"/>
      <c r="AK36" s="184">
        <v>0</v>
      </c>
      <c r="AL36" s="17"/>
      <c r="AM36" s="184">
        <v>0</v>
      </c>
      <c r="AN36" s="17"/>
      <c r="AO36" s="35">
        <f t="shared" si="11"/>
        <v>0</v>
      </c>
      <c r="AP36" s="40"/>
      <c r="AQ36" s="17">
        <v>0</v>
      </c>
      <c r="AR36" s="17"/>
      <c r="AS36" s="17">
        <v>0</v>
      </c>
      <c r="AT36" s="17"/>
      <c r="AU36" s="35">
        <f t="shared" si="12"/>
        <v>0</v>
      </c>
      <c r="AV36" s="17"/>
      <c r="AW36" s="81" t="s">
        <v>34</v>
      </c>
      <c r="AX36" s="17"/>
      <c r="AY36" s="24"/>
      <c r="AZ36" s="17"/>
      <c r="BA36" s="35">
        <v>0</v>
      </c>
      <c r="BB36" s="17"/>
      <c r="BC36" s="35">
        <v>0</v>
      </c>
      <c r="BD36" s="17"/>
      <c r="BE36" s="24"/>
      <c r="BF36" s="17"/>
      <c r="BG36" s="35">
        <f t="shared" si="13"/>
        <v>0</v>
      </c>
      <c r="BH36" s="79"/>
    </row>
    <row r="37" spans="1:60" ht="12.75" customHeight="1" hidden="1">
      <c r="A37" s="77" t="s">
        <v>35</v>
      </c>
      <c r="B37" s="96"/>
      <c r="C37" s="35">
        <f t="shared" si="7"/>
        <v>0</v>
      </c>
      <c r="D37" s="35"/>
      <c r="E37" s="24"/>
      <c r="F37" s="35"/>
      <c r="G37" s="24"/>
      <c r="H37" s="35"/>
      <c r="I37" s="35">
        <f t="shared" si="8"/>
        <v>0</v>
      </c>
      <c r="J37" s="35"/>
      <c r="K37" s="24"/>
      <c r="L37" s="35"/>
      <c r="M37" s="24"/>
      <c r="N37" s="35"/>
      <c r="O37" s="24"/>
      <c r="P37" s="35"/>
      <c r="Q37" s="24"/>
      <c r="R37" s="35"/>
      <c r="S37" s="24"/>
      <c r="T37" s="35"/>
      <c r="U37" s="35">
        <f t="shared" si="9"/>
        <v>0</v>
      </c>
      <c r="V37" s="96"/>
      <c r="W37" s="81" t="s">
        <v>35</v>
      </c>
      <c r="X37" s="96"/>
      <c r="Y37" s="24"/>
      <c r="Z37" s="17"/>
      <c r="AA37" s="24"/>
      <c r="AB37" s="17"/>
      <c r="AC37" s="24"/>
      <c r="AD37" s="17"/>
      <c r="AE37" s="35">
        <f t="shared" si="10"/>
        <v>0</v>
      </c>
      <c r="AF37" s="40"/>
      <c r="AG37" s="24"/>
      <c r="AH37" s="40"/>
      <c r="AI37" s="24"/>
      <c r="AJ37" s="17"/>
      <c r="AK37" s="184">
        <v>0</v>
      </c>
      <c r="AL37" s="17"/>
      <c r="AM37" s="184">
        <v>0</v>
      </c>
      <c r="AN37" s="17"/>
      <c r="AO37" s="35">
        <f t="shared" si="11"/>
        <v>0</v>
      </c>
      <c r="AP37" s="40"/>
      <c r="AQ37" s="17">
        <v>0</v>
      </c>
      <c r="AR37" s="17"/>
      <c r="AS37" s="17">
        <v>0</v>
      </c>
      <c r="AT37" s="17"/>
      <c r="AU37" s="35">
        <f t="shared" si="12"/>
        <v>0</v>
      </c>
      <c r="AV37" s="96"/>
      <c r="AW37" s="81" t="s">
        <v>35</v>
      </c>
      <c r="AX37" s="96"/>
      <c r="AY37" s="24"/>
      <c r="AZ37" s="17"/>
      <c r="BA37" s="35">
        <v>0</v>
      </c>
      <c r="BB37" s="17"/>
      <c r="BC37" s="35">
        <v>0</v>
      </c>
      <c r="BD37" s="17"/>
      <c r="BE37" s="24"/>
      <c r="BF37" s="17"/>
      <c r="BG37" s="35">
        <f t="shared" si="13"/>
        <v>0</v>
      </c>
      <c r="BH37" s="79"/>
    </row>
    <row r="38" spans="1:60" ht="12.75" customHeight="1" hidden="1">
      <c r="A38" s="77" t="s">
        <v>225</v>
      </c>
      <c r="B38" s="96"/>
      <c r="C38" s="35">
        <f t="shared" si="7"/>
        <v>0</v>
      </c>
      <c r="D38" s="35"/>
      <c r="E38" s="24"/>
      <c r="F38" s="35"/>
      <c r="G38" s="24"/>
      <c r="H38" s="35"/>
      <c r="I38" s="35">
        <f t="shared" si="8"/>
        <v>0</v>
      </c>
      <c r="J38" s="35"/>
      <c r="K38" s="24"/>
      <c r="L38" s="35"/>
      <c r="M38" s="24"/>
      <c r="N38" s="35"/>
      <c r="O38" s="24"/>
      <c r="P38" s="35"/>
      <c r="Q38" s="24"/>
      <c r="R38" s="35"/>
      <c r="S38" s="24"/>
      <c r="T38" s="35"/>
      <c r="U38" s="35">
        <f t="shared" si="9"/>
        <v>0</v>
      </c>
      <c r="V38" s="96"/>
      <c r="W38" s="81" t="s">
        <v>225</v>
      </c>
      <c r="X38" s="96"/>
      <c r="Y38" s="24"/>
      <c r="Z38" s="17"/>
      <c r="AA38" s="24"/>
      <c r="AB38" s="17"/>
      <c r="AC38" s="24"/>
      <c r="AD38" s="17"/>
      <c r="AE38" s="35">
        <f t="shared" si="10"/>
        <v>0</v>
      </c>
      <c r="AF38" s="40"/>
      <c r="AG38" s="24"/>
      <c r="AH38" s="40"/>
      <c r="AI38" s="24"/>
      <c r="AJ38" s="17"/>
      <c r="AK38" s="184">
        <v>0</v>
      </c>
      <c r="AL38" s="17"/>
      <c r="AM38" s="184">
        <v>0</v>
      </c>
      <c r="AN38" s="17"/>
      <c r="AO38" s="35">
        <f t="shared" si="11"/>
        <v>0</v>
      </c>
      <c r="AP38" s="40"/>
      <c r="AQ38" s="17">
        <v>0</v>
      </c>
      <c r="AR38" s="17"/>
      <c r="AS38" s="17">
        <v>0</v>
      </c>
      <c r="AT38" s="17"/>
      <c r="AU38" s="35">
        <f t="shared" si="12"/>
        <v>0</v>
      </c>
      <c r="AV38" s="96"/>
      <c r="AW38" s="81" t="s">
        <v>225</v>
      </c>
      <c r="AX38" s="96"/>
      <c r="AY38" s="24"/>
      <c r="AZ38" s="17"/>
      <c r="BA38" s="35">
        <v>0</v>
      </c>
      <c r="BB38" s="17"/>
      <c r="BC38" s="35">
        <v>0</v>
      </c>
      <c r="BD38" s="17"/>
      <c r="BE38" s="24"/>
      <c r="BF38" s="17"/>
      <c r="BG38" s="35">
        <f t="shared" si="13"/>
        <v>0</v>
      </c>
      <c r="BH38" s="79"/>
    </row>
    <row r="39" spans="1:60" ht="12.75" customHeight="1" hidden="1">
      <c r="A39" s="77" t="s">
        <v>242</v>
      </c>
      <c r="B39" s="96"/>
      <c r="C39" s="35">
        <f t="shared" si="7"/>
        <v>0</v>
      </c>
      <c r="D39" s="35"/>
      <c r="E39" s="24"/>
      <c r="F39" s="35"/>
      <c r="G39" s="24"/>
      <c r="H39" s="35"/>
      <c r="I39" s="35">
        <f t="shared" si="8"/>
        <v>0</v>
      </c>
      <c r="J39" s="35"/>
      <c r="K39" s="24"/>
      <c r="L39" s="35"/>
      <c r="M39" s="24"/>
      <c r="N39" s="35"/>
      <c r="O39" s="24"/>
      <c r="P39" s="35"/>
      <c r="Q39" s="24"/>
      <c r="R39" s="35"/>
      <c r="S39" s="24"/>
      <c r="T39" s="35"/>
      <c r="U39" s="35">
        <f t="shared" si="9"/>
        <v>0</v>
      </c>
      <c r="V39" s="96"/>
      <c r="W39" s="81" t="s">
        <v>36</v>
      </c>
      <c r="X39" s="96"/>
      <c r="Y39" s="24"/>
      <c r="Z39" s="17"/>
      <c r="AA39" s="24"/>
      <c r="AB39" s="17"/>
      <c r="AC39" s="24"/>
      <c r="AD39" s="17"/>
      <c r="AE39" s="35">
        <f t="shared" si="10"/>
        <v>0</v>
      </c>
      <c r="AF39" s="40"/>
      <c r="AG39" s="24"/>
      <c r="AH39" s="40"/>
      <c r="AI39" s="24"/>
      <c r="AJ39" s="17"/>
      <c r="AK39" s="184">
        <v>0</v>
      </c>
      <c r="AL39" s="17"/>
      <c r="AM39" s="184">
        <v>0</v>
      </c>
      <c r="AN39" s="17"/>
      <c r="AO39" s="35">
        <f t="shared" si="11"/>
        <v>0</v>
      </c>
      <c r="AP39" s="40"/>
      <c r="AQ39" s="17">
        <v>0</v>
      </c>
      <c r="AR39" s="17"/>
      <c r="AS39" s="17">
        <v>0</v>
      </c>
      <c r="AT39" s="17"/>
      <c r="AU39" s="35">
        <f t="shared" si="12"/>
        <v>0</v>
      </c>
      <c r="AV39" s="96"/>
      <c r="AW39" s="81" t="s">
        <v>36</v>
      </c>
      <c r="AX39" s="96"/>
      <c r="AY39" s="24"/>
      <c r="AZ39" s="17"/>
      <c r="BA39" s="35">
        <v>0</v>
      </c>
      <c r="BB39" s="17"/>
      <c r="BC39" s="35">
        <v>0</v>
      </c>
      <c r="BD39" s="17"/>
      <c r="BE39" s="24"/>
      <c r="BF39" s="17"/>
      <c r="BG39" s="35">
        <f t="shared" si="13"/>
        <v>0</v>
      </c>
      <c r="BH39" s="79"/>
    </row>
    <row r="40" spans="1:60" ht="12.75" customHeight="1" hidden="1">
      <c r="A40" s="77" t="s">
        <v>243</v>
      </c>
      <c r="B40" s="96"/>
      <c r="C40" s="35">
        <f t="shared" si="7"/>
        <v>0</v>
      </c>
      <c r="D40" s="35"/>
      <c r="E40" s="24"/>
      <c r="F40" s="35"/>
      <c r="G40" s="24"/>
      <c r="H40" s="35"/>
      <c r="I40" s="35">
        <f t="shared" si="8"/>
        <v>0</v>
      </c>
      <c r="J40" s="35"/>
      <c r="K40" s="24"/>
      <c r="L40" s="35"/>
      <c r="M40" s="24"/>
      <c r="N40" s="35"/>
      <c r="O40" s="24"/>
      <c r="P40" s="35"/>
      <c r="Q40" s="24"/>
      <c r="R40" s="35"/>
      <c r="S40" s="24"/>
      <c r="T40" s="35"/>
      <c r="U40" s="35">
        <f t="shared" si="9"/>
        <v>0</v>
      </c>
      <c r="V40" s="96"/>
      <c r="W40" s="81" t="s">
        <v>37</v>
      </c>
      <c r="X40" s="96"/>
      <c r="Y40" s="24"/>
      <c r="Z40" s="17"/>
      <c r="AA40" s="24"/>
      <c r="AB40" s="17"/>
      <c r="AC40" s="24"/>
      <c r="AD40" s="17"/>
      <c r="AE40" s="35">
        <f t="shared" si="10"/>
        <v>0</v>
      </c>
      <c r="AF40" s="40"/>
      <c r="AG40" s="24"/>
      <c r="AH40" s="40"/>
      <c r="AI40" s="24"/>
      <c r="AJ40" s="17"/>
      <c r="AK40" s="184">
        <v>0</v>
      </c>
      <c r="AL40" s="17"/>
      <c r="AM40" s="184">
        <v>0</v>
      </c>
      <c r="AN40" s="17"/>
      <c r="AO40" s="35">
        <f t="shared" si="11"/>
        <v>0</v>
      </c>
      <c r="AP40" s="40"/>
      <c r="AQ40" s="17">
        <v>0</v>
      </c>
      <c r="AR40" s="17"/>
      <c r="AS40" s="17">
        <v>0</v>
      </c>
      <c r="AT40" s="17"/>
      <c r="AU40" s="35">
        <f t="shared" si="12"/>
        <v>0</v>
      </c>
      <c r="AV40" s="96"/>
      <c r="AW40" s="81" t="s">
        <v>37</v>
      </c>
      <c r="AX40" s="96"/>
      <c r="AY40" s="24"/>
      <c r="AZ40" s="17"/>
      <c r="BA40" s="35">
        <v>0</v>
      </c>
      <c r="BB40" s="17"/>
      <c r="BC40" s="35">
        <v>0</v>
      </c>
      <c r="BD40" s="17"/>
      <c r="BE40" s="24"/>
      <c r="BF40" s="17"/>
      <c r="BG40" s="35">
        <f t="shared" si="13"/>
        <v>0</v>
      </c>
      <c r="BH40" s="79"/>
    </row>
    <row r="41" spans="1:60" ht="12.75">
      <c r="A41" s="77" t="s">
        <v>38</v>
      </c>
      <c r="B41" s="96"/>
      <c r="C41" s="35">
        <f t="shared" si="7"/>
        <v>2257548</v>
      </c>
      <c r="D41" s="35"/>
      <c r="E41" s="24">
        <v>15230172</v>
      </c>
      <c r="F41" s="35"/>
      <c r="G41" s="24">
        <v>17487720</v>
      </c>
      <c r="H41" s="35"/>
      <c r="I41" s="35">
        <f t="shared" si="8"/>
        <v>1976388</v>
      </c>
      <c r="J41" s="35"/>
      <c r="K41" s="24">
        <v>6298261</v>
      </c>
      <c r="L41" s="35"/>
      <c r="M41" s="24">
        <v>8274649</v>
      </c>
      <c r="N41" s="35"/>
      <c r="O41" s="24">
        <v>4519265</v>
      </c>
      <c r="P41" s="35"/>
      <c r="Q41" s="24">
        <v>2821391</v>
      </c>
      <c r="R41" s="35"/>
      <c r="S41" s="24">
        <v>1872415</v>
      </c>
      <c r="T41" s="35"/>
      <c r="U41" s="35">
        <f t="shared" si="9"/>
        <v>9213071</v>
      </c>
      <c r="V41" s="35"/>
      <c r="W41" s="81" t="s">
        <v>38</v>
      </c>
      <c r="X41" s="35"/>
      <c r="Y41" s="24">
        <v>5367609</v>
      </c>
      <c r="Z41" s="17"/>
      <c r="AA41" s="24">
        <f>6133016-363472</f>
        <v>5769544</v>
      </c>
      <c r="AB41" s="17"/>
      <c r="AC41" s="24">
        <v>363472</v>
      </c>
      <c r="AD41" s="17"/>
      <c r="AE41" s="35">
        <f t="shared" si="10"/>
        <v>-765407</v>
      </c>
      <c r="AF41" s="40"/>
      <c r="AG41" s="24">
        <v>-96477</v>
      </c>
      <c r="AH41" s="40"/>
      <c r="AI41" s="24">
        <v>0</v>
      </c>
      <c r="AJ41" s="17"/>
      <c r="AK41" s="184">
        <v>0</v>
      </c>
      <c r="AL41" s="17"/>
      <c r="AM41" s="184">
        <v>0</v>
      </c>
      <c r="AN41" s="17"/>
      <c r="AO41" s="35">
        <f t="shared" si="11"/>
        <v>-861884</v>
      </c>
      <c r="AP41" s="40"/>
      <c r="AQ41" s="17">
        <v>0</v>
      </c>
      <c r="AR41" s="17"/>
      <c r="AS41" s="17">
        <v>0</v>
      </c>
      <c r="AT41" s="17"/>
      <c r="AU41" s="35">
        <f t="shared" si="12"/>
        <v>281160</v>
      </c>
      <c r="AV41" s="17"/>
      <c r="AW41" s="81" t="s">
        <v>38</v>
      </c>
      <c r="AX41" s="17"/>
      <c r="AY41" s="24">
        <v>1867211</v>
      </c>
      <c r="AZ41" s="17"/>
      <c r="BA41" s="35">
        <v>0</v>
      </c>
      <c r="BB41" s="17"/>
      <c r="BC41" s="35">
        <v>0</v>
      </c>
      <c r="BD41" s="17"/>
      <c r="BE41" s="24">
        <f>132445+4298605</f>
        <v>4431050</v>
      </c>
      <c r="BF41" s="17"/>
      <c r="BG41" s="35">
        <f t="shared" si="13"/>
        <v>6298261</v>
      </c>
      <c r="BH41" s="79"/>
    </row>
    <row r="42" spans="1:60" ht="12.75" customHeight="1" hidden="1">
      <c r="A42" s="77" t="s">
        <v>167</v>
      </c>
      <c r="B42" s="96"/>
      <c r="C42" s="35">
        <f t="shared" si="7"/>
        <v>0</v>
      </c>
      <c r="D42" s="35"/>
      <c r="E42" s="24"/>
      <c r="F42" s="35"/>
      <c r="G42" s="24"/>
      <c r="H42" s="35"/>
      <c r="I42" s="35">
        <f t="shared" si="8"/>
        <v>0</v>
      </c>
      <c r="J42" s="35"/>
      <c r="K42" s="24"/>
      <c r="L42" s="35"/>
      <c r="M42" s="24"/>
      <c r="N42" s="35"/>
      <c r="O42" s="24"/>
      <c r="P42" s="35"/>
      <c r="Q42" s="24"/>
      <c r="R42" s="35"/>
      <c r="S42" s="24"/>
      <c r="T42" s="35"/>
      <c r="U42" s="35">
        <f t="shared" si="9"/>
        <v>0</v>
      </c>
      <c r="V42" s="96"/>
      <c r="W42" s="81" t="s">
        <v>167</v>
      </c>
      <c r="X42" s="96"/>
      <c r="Y42" s="24"/>
      <c r="Z42" s="17"/>
      <c r="AA42" s="24"/>
      <c r="AB42" s="17"/>
      <c r="AC42" s="24"/>
      <c r="AD42" s="17"/>
      <c r="AE42" s="35">
        <f t="shared" si="10"/>
        <v>0</v>
      </c>
      <c r="AF42" s="40"/>
      <c r="AG42" s="24"/>
      <c r="AH42" s="40"/>
      <c r="AI42" s="24"/>
      <c r="AJ42" s="17"/>
      <c r="AK42" s="184">
        <v>0</v>
      </c>
      <c r="AL42" s="17"/>
      <c r="AM42" s="184">
        <v>0</v>
      </c>
      <c r="AN42" s="17"/>
      <c r="AO42" s="35">
        <f t="shared" si="11"/>
        <v>0</v>
      </c>
      <c r="AP42" s="40"/>
      <c r="AQ42" s="17">
        <v>0</v>
      </c>
      <c r="AR42" s="17"/>
      <c r="AS42" s="17">
        <v>0</v>
      </c>
      <c r="AT42" s="17"/>
      <c r="AU42" s="35">
        <f t="shared" si="12"/>
        <v>0</v>
      </c>
      <c r="AV42" s="96"/>
      <c r="AW42" s="81" t="s">
        <v>167</v>
      </c>
      <c r="AX42" s="96"/>
      <c r="AY42" s="24"/>
      <c r="AZ42" s="17"/>
      <c r="BA42" s="35">
        <v>0</v>
      </c>
      <c r="BB42" s="17"/>
      <c r="BC42" s="35">
        <v>0</v>
      </c>
      <c r="BD42" s="17"/>
      <c r="BE42" s="24"/>
      <c r="BF42" s="17"/>
      <c r="BG42" s="35">
        <f t="shared" si="13"/>
        <v>0</v>
      </c>
      <c r="BH42" s="79"/>
    </row>
    <row r="43" spans="1:60" ht="12.75" customHeight="1" hidden="1">
      <c r="A43" s="77" t="s">
        <v>39</v>
      </c>
      <c r="B43" s="96"/>
      <c r="C43" s="35">
        <f t="shared" si="7"/>
        <v>0</v>
      </c>
      <c r="D43" s="35"/>
      <c r="E43" s="24"/>
      <c r="F43" s="35"/>
      <c r="G43" s="24"/>
      <c r="H43" s="35"/>
      <c r="I43" s="35">
        <f t="shared" si="8"/>
        <v>0</v>
      </c>
      <c r="J43" s="35"/>
      <c r="K43" s="24"/>
      <c r="L43" s="35"/>
      <c r="M43" s="24"/>
      <c r="N43" s="35"/>
      <c r="O43" s="24"/>
      <c r="P43" s="35"/>
      <c r="Q43" s="24"/>
      <c r="R43" s="35"/>
      <c r="S43" s="24"/>
      <c r="T43" s="35"/>
      <c r="U43" s="35">
        <f t="shared" si="9"/>
        <v>0</v>
      </c>
      <c r="V43" s="96"/>
      <c r="W43" s="81" t="s">
        <v>39</v>
      </c>
      <c r="X43" s="96"/>
      <c r="Y43" s="24"/>
      <c r="Z43" s="17"/>
      <c r="AA43" s="24"/>
      <c r="AB43" s="17"/>
      <c r="AC43" s="24"/>
      <c r="AD43" s="17"/>
      <c r="AE43" s="35">
        <f t="shared" si="10"/>
        <v>0</v>
      </c>
      <c r="AF43" s="40"/>
      <c r="AG43" s="24"/>
      <c r="AH43" s="40"/>
      <c r="AI43" s="24"/>
      <c r="AJ43" s="17"/>
      <c r="AK43" s="184">
        <v>0</v>
      </c>
      <c r="AL43" s="17"/>
      <c r="AM43" s="184">
        <v>0</v>
      </c>
      <c r="AN43" s="17"/>
      <c r="AO43" s="35">
        <f t="shared" si="11"/>
        <v>0</v>
      </c>
      <c r="AP43" s="40"/>
      <c r="AQ43" s="17">
        <v>0</v>
      </c>
      <c r="AR43" s="17"/>
      <c r="AS43" s="17">
        <v>0</v>
      </c>
      <c r="AT43" s="17"/>
      <c r="AU43" s="35">
        <f t="shared" si="12"/>
        <v>0</v>
      </c>
      <c r="AV43" s="96"/>
      <c r="AW43" s="81" t="s">
        <v>39</v>
      </c>
      <c r="AX43" s="96"/>
      <c r="AY43" s="24"/>
      <c r="AZ43" s="17"/>
      <c r="BA43" s="35">
        <v>0</v>
      </c>
      <c r="BB43" s="17"/>
      <c r="BC43" s="35">
        <v>0</v>
      </c>
      <c r="BD43" s="17"/>
      <c r="BE43" s="24"/>
      <c r="BF43" s="17"/>
      <c r="BG43" s="35">
        <f t="shared" si="13"/>
        <v>0</v>
      </c>
      <c r="BH43" s="79"/>
    </row>
    <row r="44" spans="1:60" ht="12.75">
      <c r="A44" s="77" t="s">
        <v>40</v>
      </c>
      <c r="B44" s="96"/>
      <c r="C44" s="35">
        <f t="shared" si="7"/>
        <v>1482637</v>
      </c>
      <c r="D44" s="35"/>
      <c r="E44" s="24">
        <v>1020325</v>
      </c>
      <c r="F44" s="35"/>
      <c r="G44" s="24">
        <v>2502962</v>
      </c>
      <c r="H44" s="35"/>
      <c r="I44" s="35">
        <f t="shared" si="8"/>
        <v>80551</v>
      </c>
      <c r="J44" s="35"/>
      <c r="K44" s="24">
        <v>2974973</v>
      </c>
      <c r="L44" s="35"/>
      <c r="M44" s="24">
        <v>3055524</v>
      </c>
      <c r="N44" s="35"/>
      <c r="O44" s="24">
        <v>1020325</v>
      </c>
      <c r="P44" s="35"/>
      <c r="Q44" s="24">
        <v>0</v>
      </c>
      <c r="R44" s="35"/>
      <c r="S44" s="24">
        <v>-1572887</v>
      </c>
      <c r="T44" s="35"/>
      <c r="U44" s="35">
        <f t="shared" si="9"/>
        <v>-552562</v>
      </c>
      <c r="V44" s="35"/>
      <c r="W44" s="81" t="s">
        <v>40</v>
      </c>
      <c r="X44" s="35"/>
      <c r="Y44" s="24">
        <v>783154</v>
      </c>
      <c r="Z44" s="17"/>
      <c r="AA44" s="24">
        <f>895100-34912</f>
        <v>860188</v>
      </c>
      <c r="AB44" s="17"/>
      <c r="AC44" s="24">
        <v>34912</v>
      </c>
      <c r="AD44" s="17"/>
      <c r="AE44" s="35">
        <f t="shared" si="10"/>
        <v>-111946</v>
      </c>
      <c r="AF44" s="40"/>
      <c r="AG44" s="24">
        <v>-318</v>
      </c>
      <c r="AH44" s="40"/>
      <c r="AI44" s="24">
        <v>0</v>
      </c>
      <c r="AJ44" s="17"/>
      <c r="AK44" s="184">
        <v>0</v>
      </c>
      <c r="AL44" s="17"/>
      <c r="AM44" s="184">
        <v>0</v>
      </c>
      <c r="AN44" s="17"/>
      <c r="AO44" s="35">
        <f t="shared" si="11"/>
        <v>-112264</v>
      </c>
      <c r="AP44" s="40"/>
      <c r="AQ44" s="17">
        <v>0</v>
      </c>
      <c r="AR44" s="17"/>
      <c r="AS44" s="17">
        <v>0</v>
      </c>
      <c r="AT44" s="17"/>
      <c r="AU44" s="35">
        <f t="shared" si="12"/>
        <v>1402086</v>
      </c>
      <c r="AV44" s="17"/>
      <c r="AW44" s="81" t="s">
        <v>40</v>
      </c>
      <c r="AX44" s="17"/>
      <c r="AY44" s="24">
        <v>0</v>
      </c>
      <c r="AZ44" s="17"/>
      <c r="BA44" s="35">
        <v>0</v>
      </c>
      <c r="BB44" s="17"/>
      <c r="BC44" s="35">
        <v>0</v>
      </c>
      <c r="BD44" s="17"/>
      <c r="BE44" s="24">
        <v>2974973</v>
      </c>
      <c r="BF44" s="17"/>
      <c r="BG44" s="35">
        <f t="shared" si="13"/>
        <v>2974973</v>
      </c>
      <c r="BH44" s="83"/>
    </row>
    <row r="45" spans="1:60" ht="12.75" hidden="1">
      <c r="A45" s="77" t="s">
        <v>41</v>
      </c>
      <c r="B45" s="96"/>
      <c r="C45" s="35">
        <f t="shared" si="7"/>
        <v>0</v>
      </c>
      <c r="D45" s="35"/>
      <c r="E45" s="24"/>
      <c r="F45" s="35"/>
      <c r="G45" s="24"/>
      <c r="H45" s="35"/>
      <c r="I45" s="35">
        <f t="shared" si="8"/>
        <v>0</v>
      </c>
      <c r="J45" s="35"/>
      <c r="K45" s="24"/>
      <c r="L45" s="35"/>
      <c r="M45" s="24"/>
      <c r="N45" s="35"/>
      <c r="O45" s="24"/>
      <c r="P45" s="35"/>
      <c r="Q45" s="24"/>
      <c r="R45" s="35"/>
      <c r="S45" s="24"/>
      <c r="T45" s="35"/>
      <c r="U45" s="35">
        <f t="shared" si="9"/>
        <v>0</v>
      </c>
      <c r="V45" s="96"/>
      <c r="W45" s="81" t="s">
        <v>41</v>
      </c>
      <c r="X45" s="96"/>
      <c r="Y45" s="24"/>
      <c r="Z45" s="17"/>
      <c r="AA45" s="24"/>
      <c r="AB45" s="17"/>
      <c r="AC45" s="24"/>
      <c r="AD45" s="17"/>
      <c r="AE45" s="35">
        <f t="shared" si="10"/>
        <v>0</v>
      </c>
      <c r="AF45" s="40"/>
      <c r="AG45" s="24"/>
      <c r="AH45" s="40"/>
      <c r="AI45" s="24"/>
      <c r="AJ45" s="17"/>
      <c r="AK45" s="184">
        <v>0</v>
      </c>
      <c r="AL45" s="17"/>
      <c r="AM45" s="184">
        <v>0</v>
      </c>
      <c r="AN45" s="17"/>
      <c r="AO45" s="35">
        <f t="shared" si="11"/>
        <v>0</v>
      </c>
      <c r="AP45" s="40"/>
      <c r="AQ45" s="17">
        <v>0</v>
      </c>
      <c r="AR45" s="17"/>
      <c r="AS45" s="17">
        <v>0</v>
      </c>
      <c r="AT45" s="17"/>
      <c r="AU45" s="35">
        <f t="shared" si="12"/>
        <v>0</v>
      </c>
      <c r="AV45" s="96"/>
      <c r="AW45" s="81" t="s">
        <v>41</v>
      </c>
      <c r="AX45" s="96"/>
      <c r="AY45" s="24"/>
      <c r="AZ45" s="17"/>
      <c r="BA45" s="35">
        <v>0</v>
      </c>
      <c r="BB45" s="17"/>
      <c r="BC45" s="35">
        <v>0</v>
      </c>
      <c r="BD45" s="17"/>
      <c r="BE45" s="24"/>
      <c r="BF45" s="17"/>
      <c r="BG45" s="35">
        <f t="shared" si="13"/>
        <v>0</v>
      </c>
      <c r="BH45" s="79"/>
    </row>
    <row r="46" spans="1:60" ht="12.75" hidden="1">
      <c r="A46" s="77" t="s">
        <v>42</v>
      </c>
      <c r="B46" s="96"/>
      <c r="C46" s="35">
        <f t="shared" si="7"/>
        <v>0</v>
      </c>
      <c r="D46" s="35"/>
      <c r="E46" s="24"/>
      <c r="F46" s="35"/>
      <c r="G46" s="24"/>
      <c r="H46" s="35"/>
      <c r="I46" s="35">
        <f t="shared" si="8"/>
        <v>0</v>
      </c>
      <c r="J46" s="35"/>
      <c r="K46" s="24"/>
      <c r="L46" s="35"/>
      <c r="M46" s="24"/>
      <c r="N46" s="35"/>
      <c r="O46" s="24"/>
      <c r="P46" s="35"/>
      <c r="Q46" s="24"/>
      <c r="R46" s="35"/>
      <c r="S46" s="24"/>
      <c r="T46" s="35"/>
      <c r="U46" s="35">
        <f t="shared" si="9"/>
        <v>0</v>
      </c>
      <c r="V46" s="35"/>
      <c r="W46" s="81" t="s">
        <v>42</v>
      </c>
      <c r="X46" s="35"/>
      <c r="Y46" s="24"/>
      <c r="Z46" s="17"/>
      <c r="AA46" s="24"/>
      <c r="AB46" s="17"/>
      <c r="AC46" s="24"/>
      <c r="AD46" s="17"/>
      <c r="AE46" s="35">
        <f t="shared" si="10"/>
        <v>0</v>
      </c>
      <c r="AF46" s="40"/>
      <c r="AG46" s="24"/>
      <c r="AH46" s="40"/>
      <c r="AI46" s="24"/>
      <c r="AJ46" s="17"/>
      <c r="AK46" s="184">
        <v>0</v>
      </c>
      <c r="AL46" s="17"/>
      <c r="AM46" s="184">
        <v>0</v>
      </c>
      <c r="AN46" s="17"/>
      <c r="AO46" s="35">
        <f t="shared" si="11"/>
        <v>0</v>
      </c>
      <c r="AP46" s="40"/>
      <c r="AQ46" s="17">
        <v>0</v>
      </c>
      <c r="AR46" s="17"/>
      <c r="AS46" s="17">
        <v>0</v>
      </c>
      <c r="AT46" s="17"/>
      <c r="AU46" s="35">
        <f t="shared" si="12"/>
        <v>0</v>
      </c>
      <c r="AV46" s="17"/>
      <c r="AW46" s="81" t="s">
        <v>42</v>
      </c>
      <c r="AX46" s="17"/>
      <c r="AY46" s="24"/>
      <c r="AZ46" s="17"/>
      <c r="BA46" s="35">
        <v>0</v>
      </c>
      <c r="BB46" s="17"/>
      <c r="BC46" s="35">
        <v>0</v>
      </c>
      <c r="BD46" s="17"/>
      <c r="BE46" s="24"/>
      <c r="BF46" s="17"/>
      <c r="BG46" s="35">
        <f t="shared" si="13"/>
        <v>0</v>
      </c>
      <c r="BH46" s="79"/>
    </row>
    <row r="47" spans="1:60" ht="12.75" hidden="1">
      <c r="A47" s="77" t="s">
        <v>43</v>
      </c>
      <c r="B47" s="96"/>
      <c r="C47" s="35">
        <f t="shared" si="7"/>
        <v>0</v>
      </c>
      <c r="D47" s="35"/>
      <c r="E47" s="24"/>
      <c r="F47" s="35"/>
      <c r="G47" s="24"/>
      <c r="H47" s="35"/>
      <c r="I47" s="35">
        <f t="shared" si="8"/>
        <v>0</v>
      </c>
      <c r="J47" s="35"/>
      <c r="K47" s="24"/>
      <c r="L47" s="35"/>
      <c r="M47" s="24"/>
      <c r="N47" s="35"/>
      <c r="O47" s="24"/>
      <c r="P47" s="35"/>
      <c r="Q47" s="24"/>
      <c r="R47" s="35"/>
      <c r="S47" s="24"/>
      <c r="T47" s="35"/>
      <c r="U47" s="35">
        <f t="shared" si="9"/>
        <v>0</v>
      </c>
      <c r="V47" s="35"/>
      <c r="W47" s="81" t="s">
        <v>43</v>
      </c>
      <c r="X47" s="35"/>
      <c r="Y47" s="24"/>
      <c r="Z47" s="17"/>
      <c r="AA47" s="24"/>
      <c r="AB47" s="17"/>
      <c r="AC47" s="24"/>
      <c r="AD47" s="17"/>
      <c r="AE47" s="35">
        <f t="shared" si="10"/>
        <v>0</v>
      </c>
      <c r="AF47" s="40"/>
      <c r="AG47" s="24"/>
      <c r="AH47" s="40"/>
      <c r="AI47" s="24"/>
      <c r="AJ47" s="17"/>
      <c r="AK47" s="184">
        <v>0</v>
      </c>
      <c r="AL47" s="17"/>
      <c r="AM47" s="184">
        <v>0</v>
      </c>
      <c r="AN47" s="17"/>
      <c r="AO47" s="35">
        <f t="shared" si="11"/>
        <v>0</v>
      </c>
      <c r="AP47" s="40"/>
      <c r="AQ47" s="17">
        <v>0</v>
      </c>
      <c r="AR47" s="17"/>
      <c r="AS47" s="17">
        <v>0</v>
      </c>
      <c r="AT47" s="17"/>
      <c r="AU47" s="35">
        <f t="shared" si="12"/>
        <v>0</v>
      </c>
      <c r="AV47" s="17"/>
      <c r="AW47" s="81" t="s">
        <v>43</v>
      </c>
      <c r="AX47" s="17"/>
      <c r="AY47" s="24"/>
      <c r="AZ47" s="17"/>
      <c r="BA47" s="35">
        <v>0</v>
      </c>
      <c r="BB47" s="17"/>
      <c r="BC47" s="35">
        <v>0</v>
      </c>
      <c r="BD47" s="17"/>
      <c r="BE47" s="24"/>
      <c r="BF47" s="17"/>
      <c r="BG47" s="35">
        <f t="shared" si="13"/>
        <v>0</v>
      </c>
      <c r="BH47" s="79"/>
    </row>
    <row r="48" spans="1:60" ht="12.75">
      <c r="A48" s="77" t="s">
        <v>44</v>
      </c>
      <c r="B48" s="96"/>
      <c r="C48" s="152">
        <f t="shared" si="7"/>
        <v>848910</v>
      </c>
      <c r="D48" s="152"/>
      <c r="E48" s="24">
        <v>2696912</v>
      </c>
      <c r="F48" s="152"/>
      <c r="G48" s="24">
        <v>3545822</v>
      </c>
      <c r="H48" s="152"/>
      <c r="I48" s="152">
        <f t="shared" si="8"/>
        <v>471879</v>
      </c>
      <c r="J48" s="152"/>
      <c r="K48" s="24">
        <v>4800555</v>
      </c>
      <c r="L48" s="152"/>
      <c r="M48" s="24">
        <v>5272434</v>
      </c>
      <c r="N48" s="152"/>
      <c r="O48" s="24">
        <v>2293375</v>
      </c>
      <c r="P48" s="152"/>
      <c r="Q48" s="24">
        <v>0</v>
      </c>
      <c r="R48" s="152"/>
      <c r="S48" s="24">
        <v>-4019987</v>
      </c>
      <c r="T48" s="152"/>
      <c r="U48" s="152">
        <f t="shared" si="9"/>
        <v>-1726612</v>
      </c>
      <c r="V48" s="152"/>
      <c r="W48" s="158" t="s">
        <v>44</v>
      </c>
      <c r="X48" s="152"/>
      <c r="Y48" s="24">
        <v>2377361</v>
      </c>
      <c r="Z48" s="153"/>
      <c r="AA48" s="24">
        <f>4136110-151775</f>
        <v>3984335</v>
      </c>
      <c r="AB48" s="153"/>
      <c r="AC48" s="24">
        <v>151775</v>
      </c>
      <c r="AD48" s="153"/>
      <c r="AE48" s="152">
        <f t="shared" si="10"/>
        <v>-1758749</v>
      </c>
      <c r="AF48" s="144"/>
      <c r="AG48" s="24">
        <v>-19108</v>
      </c>
      <c r="AH48" s="144"/>
      <c r="AI48" s="24">
        <v>0</v>
      </c>
      <c r="AJ48" s="153"/>
      <c r="AK48" s="184">
        <v>0</v>
      </c>
      <c r="AL48" s="153"/>
      <c r="AM48" s="184">
        <v>0</v>
      </c>
      <c r="AN48" s="153"/>
      <c r="AO48" s="152">
        <f t="shared" si="11"/>
        <v>-1777857</v>
      </c>
      <c r="AP48" s="144"/>
      <c r="AQ48" s="153">
        <v>0</v>
      </c>
      <c r="AR48" s="153"/>
      <c r="AS48" s="153">
        <v>0</v>
      </c>
      <c r="AT48" s="153"/>
      <c r="AU48" s="152">
        <f t="shared" si="12"/>
        <v>377031</v>
      </c>
      <c r="AV48" s="153"/>
      <c r="AW48" s="158" t="s">
        <v>44</v>
      </c>
      <c r="AX48" s="153"/>
      <c r="AY48" s="24">
        <v>330000</v>
      </c>
      <c r="AZ48" s="153"/>
      <c r="BA48" s="35">
        <v>0</v>
      </c>
      <c r="BB48" s="153"/>
      <c r="BC48" s="35">
        <v>0</v>
      </c>
      <c r="BD48" s="153"/>
      <c r="BE48" s="24">
        <f>73886+43442+4353227</f>
        <v>4470555</v>
      </c>
      <c r="BF48" s="153"/>
      <c r="BG48" s="152">
        <f t="shared" si="13"/>
        <v>4800555</v>
      </c>
      <c r="BH48" s="79"/>
    </row>
    <row r="49" spans="1:60" ht="12.75" hidden="1">
      <c r="A49" s="77" t="s">
        <v>239</v>
      </c>
      <c r="B49" s="96"/>
      <c r="C49" s="152">
        <f t="shared" si="7"/>
        <v>0</v>
      </c>
      <c r="D49" s="152"/>
      <c r="E49" s="24"/>
      <c r="F49" s="152"/>
      <c r="G49" s="24"/>
      <c r="H49" s="152"/>
      <c r="I49" s="152">
        <f t="shared" si="8"/>
        <v>0</v>
      </c>
      <c r="J49" s="152"/>
      <c r="K49" s="24"/>
      <c r="L49" s="152"/>
      <c r="M49" s="24"/>
      <c r="N49" s="152"/>
      <c r="O49" s="24"/>
      <c r="P49" s="152"/>
      <c r="Q49" s="24"/>
      <c r="R49" s="152"/>
      <c r="S49" s="24"/>
      <c r="T49" s="152"/>
      <c r="U49" s="152">
        <f t="shared" si="9"/>
        <v>0</v>
      </c>
      <c r="V49" s="102"/>
      <c r="W49" s="158" t="s">
        <v>45</v>
      </c>
      <c r="X49" s="102"/>
      <c r="Y49" s="24"/>
      <c r="Z49" s="153"/>
      <c r="AA49" s="24"/>
      <c r="AB49" s="153"/>
      <c r="AC49" s="24"/>
      <c r="AD49" s="153"/>
      <c r="AE49" s="152">
        <f t="shared" si="10"/>
        <v>0</v>
      </c>
      <c r="AF49" s="144"/>
      <c r="AG49" s="24"/>
      <c r="AH49" s="144"/>
      <c r="AI49" s="24"/>
      <c r="AJ49" s="153"/>
      <c r="AK49" s="184">
        <v>0</v>
      </c>
      <c r="AL49" s="153"/>
      <c r="AM49" s="184">
        <v>0</v>
      </c>
      <c r="AN49" s="153"/>
      <c r="AO49" s="152">
        <f t="shared" si="11"/>
        <v>0</v>
      </c>
      <c r="AP49" s="144"/>
      <c r="AQ49" s="153">
        <v>0</v>
      </c>
      <c r="AR49" s="153"/>
      <c r="AS49" s="153">
        <v>0</v>
      </c>
      <c r="AT49" s="153"/>
      <c r="AU49" s="152">
        <f t="shared" si="12"/>
        <v>0</v>
      </c>
      <c r="AV49" s="102"/>
      <c r="AW49" s="158" t="s">
        <v>45</v>
      </c>
      <c r="AX49" s="102"/>
      <c r="AY49" s="24"/>
      <c r="AZ49" s="153"/>
      <c r="BA49" s="35">
        <v>0</v>
      </c>
      <c r="BB49" s="153"/>
      <c r="BC49" s="35">
        <v>0</v>
      </c>
      <c r="BD49" s="153"/>
      <c r="BE49" s="24"/>
      <c r="BF49" s="153"/>
      <c r="BG49" s="152">
        <f t="shared" si="13"/>
        <v>0</v>
      </c>
      <c r="BH49" s="79"/>
    </row>
    <row r="50" spans="1:60" ht="12.75" hidden="1">
      <c r="A50" s="77" t="s">
        <v>46</v>
      </c>
      <c r="B50" s="96"/>
      <c r="C50" s="152">
        <f t="shared" si="7"/>
        <v>0</v>
      </c>
      <c r="D50" s="152"/>
      <c r="E50" s="24"/>
      <c r="F50" s="152"/>
      <c r="G50" s="24"/>
      <c r="H50" s="152"/>
      <c r="I50" s="152">
        <f t="shared" si="8"/>
        <v>0</v>
      </c>
      <c r="J50" s="152"/>
      <c r="K50" s="24"/>
      <c r="L50" s="152"/>
      <c r="M50" s="24"/>
      <c r="N50" s="152"/>
      <c r="O50" s="24"/>
      <c r="P50" s="152"/>
      <c r="Q50" s="24"/>
      <c r="R50" s="152"/>
      <c r="S50" s="24"/>
      <c r="T50" s="152"/>
      <c r="U50" s="152">
        <f t="shared" si="9"/>
        <v>0</v>
      </c>
      <c r="V50" s="102"/>
      <c r="W50" s="158" t="s">
        <v>46</v>
      </c>
      <c r="X50" s="102"/>
      <c r="Y50" s="24"/>
      <c r="Z50" s="153"/>
      <c r="AA50" s="24"/>
      <c r="AB50" s="153"/>
      <c r="AC50" s="24"/>
      <c r="AD50" s="153"/>
      <c r="AE50" s="152">
        <f t="shared" si="10"/>
        <v>0</v>
      </c>
      <c r="AF50" s="144"/>
      <c r="AG50" s="24"/>
      <c r="AH50" s="144"/>
      <c r="AI50" s="24"/>
      <c r="AJ50" s="153"/>
      <c r="AK50" s="184">
        <v>0</v>
      </c>
      <c r="AL50" s="153"/>
      <c r="AM50" s="184">
        <v>0</v>
      </c>
      <c r="AN50" s="153"/>
      <c r="AO50" s="152">
        <f t="shared" si="11"/>
        <v>0</v>
      </c>
      <c r="AP50" s="144"/>
      <c r="AQ50" s="153">
        <v>0</v>
      </c>
      <c r="AR50" s="153"/>
      <c r="AS50" s="153">
        <v>0</v>
      </c>
      <c r="AT50" s="153"/>
      <c r="AU50" s="152">
        <f t="shared" si="12"/>
        <v>0</v>
      </c>
      <c r="AV50" s="102"/>
      <c r="AW50" s="158" t="s">
        <v>46</v>
      </c>
      <c r="AX50" s="102"/>
      <c r="AY50" s="24"/>
      <c r="AZ50" s="153"/>
      <c r="BA50" s="35">
        <v>0</v>
      </c>
      <c r="BB50" s="153"/>
      <c r="BC50" s="35">
        <v>0</v>
      </c>
      <c r="BD50" s="153"/>
      <c r="BE50" s="24"/>
      <c r="BF50" s="153"/>
      <c r="BG50" s="152">
        <f t="shared" si="13"/>
        <v>0</v>
      </c>
      <c r="BH50" s="79"/>
    </row>
    <row r="51" spans="1:60" ht="12.75">
      <c r="A51" s="77" t="s">
        <v>47</v>
      </c>
      <c r="B51" s="96"/>
      <c r="C51" s="152">
        <f t="shared" si="7"/>
        <v>75940</v>
      </c>
      <c r="D51" s="152"/>
      <c r="E51" s="24">
        <v>143164</v>
      </c>
      <c r="F51" s="152"/>
      <c r="G51" s="24">
        <v>219104</v>
      </c>
      <c r="H51" s="152"/>
      <c r="I51" s="152">
        <f t="shared" si="8"/>
        <v>91675</v>
      </c>
      <c r="J51" s="152"/>
      <c r="K51" s="24">
        <v>1053980</v>
      </c>
      <c r="L51" s="152"/>
      <c r="M51" s="24">
        <v>1145655</v>
      </c>
      <c r="N51" s="152"/>
      <c r="O51" s="24">
        <v>143164</v>
      </c>
      <c r="P51" s="152"/>
      <c r="Q51" s="24">
        <v>0</v>
      </c>
      <c r="R51" s="152"/>
      <c r="S51" s="24">
        <v>-1069715</v>
      </c>
      <c r="T51" s="152"/>
      <c r="U51" s="152">
        <f t="shared" si="9"/>
        <v>-926551</v>
      </c>
      <c r="V51" s="152"/>
      <c r="W51" s="158" t="s">
        <v>47</v>
      </c>
      <c r="X51" s="152"/>
      <c r="Y51" s="24">
        <v>0</v>
      </c>
      <c r="Z51" s="153"/>
      <c r="AA51" s="24">
        <v>97909</v>
      </c>
      <c r="AB51" s="153"/>
      <c r="AC51" s="24">
        <v>0</v>
      </c>
      <c r="AD51" s="153"/>
      <c r="AE51" s="152">
        <f t="shared" si="10"/>
        <v>-97909</v>
      </c>
      <c r="AF51" s="144"/>
      <c r="AG51" s="24">
        <v>0</v>
      </c>
      <c r="AH51" s="144"/>
      <c r="AI51" s="24">
        <v>102189</v>
      </c>
      <c r="AJ51" s="153"/>
      <c r="AK51" s="184">
        <v>0</v>
      </c>
      <c r="AL51" s="153"/>
      <c r="AM51" s="184">
        <v>0</v>
      </c>
      <c r="AN51" s="153"/>
      <c r="AO51" s="152">
        <f t="shared" si="11"/>
        <v>4280</v>
      </c>
      <c r="AP51" s="144"/>
      <c r="AQ51" s="153">
        <v>0</v>
      </c>
      <c r="AR51" s="153"/>
      <c r="AS51" s="153">
        <v>0</v>
      </c>
      <c r="AT51" s="153"/>
      <c r="AU51" s="152">
        <f t="shared" si="12"/>
        <v>-15735</v>
      </c>
      <c r="AV51" s="153"/>
      <c r="AW51" s="158" t="s">
        <v>47</v>
      </c>
      <c r="AX51" s="153"/>
      <c r="AY51" s="24">
        <v>0</v>
      </c>
      <c r="AZ51" s="153"/>
      <c r="BA51" s="35">
        <v>0</v>
      </c>
      <c r="BB51" s="153"/>
      <c r="BC51" s="35">
        <v>0</v>
      </c>
      <c r="BD51" s="153"/>
      <c r="BE51" s="24">
        <v>1053980</v>
      </c>
      <c r="BF51" s="153"/>
      <c r="BG51" s="152">
        <f t="shared" si="13"/>
        <v>1053980</v>
      </c>
      <c r="BH51" s="79"/>
    </row>
    <row r="52" spans="1:60" ht="12.75" hidden="1">
      <c r="A52" s="77" t="s">
        <v>48</v>
      </c>
      <c r="B52" s="96"/>
      <c r="C52" s="152">
        <f t="shared" si="7"/>
        <v>0</v>
      </c>
      <c r="D52" s="152"/>
      <c r="E52" s="24"/>
      <c r="F52" s="152"/>
      <c r="G52" s="24"/>
      <c r="H52" s="152"/>
      <c r="I52" s="152">
        <f t="shared" si="8"/>
        <v>0</v>
      </c>
      <c r="J52" s="152"/>
      <c r="K52" s="24"/>
      <c r="L52" s="152"/>
      <c r="M52" s="24"/>
      <c r="N52" s="152"/>
      <c r="O52" s="24"/>
      <c r="P52" s="152"/>
      <c r="Q52" s="24"/>
      <c r="R52" s="152"/>
      <c r="S52" s="24"/>
      <c r="T52" s="152"/>
      <c r="U52" s="152">
        <f t="shared" si="9"/>
        <v>0</v>
      </c>
      <c r="V52" s="102"/>
      <c r="W52" s="158" t="s">
        <v>48</v>
      </c>
      <c r="X52" s="102"/>
      <c r="Y52" s="24"/>
      <c r="Z52" s="153"/>
      <c r="AA52" s="24"/>
      <c r="AB52" s="153"/>
      <c r="AC52" s="24"/>
      <c r="AD52" s="153"/>
      <c r="AE52" s="152">
        <f t="shared" si="10"/>
        <v>0</v>
      </c>
      <c r="AF52" s="144"/>
      <c r="AG52" s="24"/>
      <c r="AH52" s="144"/>
      <c r="AI52" s="24"/>
      <c r="AJ52" s="153"/>
      <c r="AK52" s="184">
        <v>0</v>
      </c>
      <c r="AL52" s="153"/>
      <c r="AM52" s="184">
        <v>0</v>
      </c>
      <c r="AN52" s="153"/>
      <c r="AO52" s="152">
        <f t="shared" si="11"/>
        <v>0</v>
      </c>
      <c r="AP52" s="144"/>
      <c r="AQ52" s="153">
        <v>0</v>
      </c>
      <c r="AR52" s="153"/>
      <c r="AS52" s="153">
        <v>0</v>
      </c>
      <c r="AT52" s="153"/>
      <c r="AU52" s="152">
        <f t="shared" si="12"/>
        <v>0</v>
      </c>
      <c r="AV52" s="102"/>
      <c r="AW52" s="158" t="s">
        <v>48</v>
      </c>
      <c r="AX52" s="102"/>
      <c r="AY52" s="24"/>
      <c r="AZ52" s="153"/>
      <c r="BA52" s="35">
        <v>0</v>
      </c>
      <c r="BB52" s="153"/>
      <c r="BC52" s="35">
        <v>0</v>
      </c>
      <c r="BD52" s="153"/>
      <c r="BE52" s="24"/>
      <c r="BF52" s="153"/>
      <c r="BG52" s="152">
        <f t="shared" si="13"/>
        <v>0</v>
      </c>
      <c r="BH52" s="79"/>
    </row>
    <row r="53" spans="1:60" ht="12.75" hidden="1">
      <c r="A53" s="77" t="s">
        <v>169</v>
      </c>
      <c r="B53" s="96"/>
      <c r="C53" s="35">
        <f t="shared" si="7"/>
        <v>0</v>
      </c>
      <c r="D53" s="35"/>
      <c r="E53" s="24"/>
      <c r="F53" s="35"/>
      <c r="G53" s="24"/>
      <c r="H53" s="35"/>
      <c r="I53" s="35">
        <f t="shared" si="8"/>
        <v>0</v>
      </c>
      <c r="J53" s="35"/>
      <c r="K53" s="24"/>
      <c r="L53" s="35"/>
      <c r="M53" s="24"/>
      <c r="N53" s="35"/>
      <c r="O53" s="24"/>
      <c r="P53" s="35"/>
      <c r="Q53" s="24"/>
      <c r="R53" s="35"/>
      <c r="S53" s="24"/>
      <c r="T53" s="35"/>
      <c r="U53" s="35">
        <f t="shared" si="9"/>
        <v>0</v>
      </c>
      <c r="V53" s="96"/>
      <c r="W53" s="81" t="s">
        <v>169</v>
      </c>
      <c r="X53" s="96"/>
      <c r="Y53" s="24"/>
      <c r="Z53" s="17"/>
      <c r="AA53" s="24"/>
      <c r="AB53" s="17"/>
      <c r="AC53" s="24"/>
      <c r="AD53" s="17"/>
      <c r="AE53" s="35">
        <f t="shared" si="10"/>
        <v>0</v>
      </c>
      <c r="AF53" s="40"/>
      <c r="AG53" s="24"/>
      <c r="AH53" s="40"/>
      <c r="AI53" s="24"/>
      <c r="AJ53" s="17"/>
      <c r="AK53" s="184">
        <v>0</v>
      </c>
      <c r="AL53" s="17"/>
      <c r="AM53" s="184">
        <v>0</v>
      </c>
      <c r="AN53" s="17"/>
      <c r="AO53" s="35">
        <f t="shared" si="11"/>
        <v>0</v>
      </c>
      <c r="AP53" s="40"/>
      <c r="AQ53" s="17">
        <v>0</v>
      </c>
      <c r="AR53" s="17"/>
      <c r="AS53" s="17">
        <v>0</v>
      </c>
      <c r="AT53" s="17"/>
      <c r="AU53" s="35">
        <f t="shared" si="12"/>
        <v>0</v>
      </c>
      <c r="AV53" s="96"/>
      <c r="AW53" s="81" t="s">
        <v>169</v>
      </c>
      <c r="AX53" s="96"/>
      <c r="AY53" s="24"/>
      <c r="AZ53" s="17"/>
      <c r="BA53" s="35">
        <v>0</v>
      </c>
      <c r="BB53" s="17"/>
      <c r="BC53" s="35">
        <v>0</v>
      </c>
      <c r="BD53" s="17"/>
      <c r="BE53" s="24"/>
      <c r="BF53" s="17"/>
      <c r="BG53" s="35">
        <f t="shared" si="13"/>
        <v>0</v>
      </c>
      <c r="BH53" s="79"/>
    </row>
    <row r="54" spans="1:60" ht="12.75" hidden="1">
      <c r="A54" s="77" t="s">
        <v>49</v>
      </c>
      <c r="B54" s="96"/>
      <c r="C54" s="35">
        <f t="shared" si="7"/>
        <v>0</v>
      </c>
      <c r="D54" s="35"/>
      <c r="E54" s="24"/>
      <c r="F54" s="35"/>
      <c r="G54" s="24"/>
      <c r="H54" s="35"/>
      <c r="I54" s="35">
        <f t="shared" si="8"/>
        <v>0</v>
      </c>
      <c r="J54" s="35"/>
      <c r="K54" s="24"/>
      <c r="L54" s="35"/>
      <c r="M54" s="24"/>
      <c r="N54" s="35"/>
      <c r="O54" s="24"/>
      <c r="P54" s="35"/>
      <c r="Q54" s="24"/>
      <c r="R54" s="35"/>
      <c r="S54" s="24"/>
      <c r="T54" s="35"/>
      <c r="U54" s="35">
        <f t="shared" si="9"/>
        <v>0</v>
      </c>
      <c r="V54" s="96"/>
      <c r="W54" s="81" t="s">
        <v>49</v>
      </c>
      <c r="X54" s="96"/>
      <c r="Y54" s="24"/>
      <c r="Z54" s="17"/>
      <c r="AA54" s="24"/>
      <c r="AB54" s="17"/>
      <c r="AC54" s="24"/>
      <c r="AD54" s="17"/>
      <c r="AE54" s="35">
        <f t="shared" si="10"/>
        <v>0</v>
      </c>
      <c r="AF54" s="40"/>
      <c r="AG54" s="24"/>
      <c r="AH54" s="40"/>
      <c r="AI54" s="24"/>
      <c r="AJ54" s="17"/>
      <c r="AK54" s="184">
        <v>0</v>
      </c>
      <c r="AL54" s="17"/>
      <c r="AM54" s="184">
        <v>0</v>
      </c>
      <c r="AN54" s="17"/>
      <c r="AO54" s="35">
        <f t="shared" si="11"/>
        <v>0</v>
      </c>
      <c r="AP54" s="40"/>
      <c r="AQ54" s="17">
        <v>0</v>
      </c>
      <c r="AR54" s="17"/>
      <c r="AS54" s="17">
        <v>0</v>
      </c>
      <c r="AT54" s="17"/>
      <c r="AU54" s="35">
        <f t="shared" si="12"/>
        <v>0</v>
      </c>
      <c r="AV54" s="96"/>
      <c r="AW54" s="81" t="s">
        <v>49</v>
      </c>
      <c r="AX54" s="96"/>
      <c r="AY54" s="24"/>
      <c r="AZ54" s="17"/>
      <c r="BA54" s="35">
        <v>0</v>
      </c>
      <c r="BB54" s="17"/>
      <c r="BC54" s="35">
        <v>0</v>
      </c>
      <c r="BD54" s="17"/>
      <c r="BE54" s="24"/>
      <c r="BF54" s="17"/>
      <c r="BG54" s="35">
        <f t="shared" si="13"/>
        <v>0</v>
      </c>
      <c r="BH54" s="79"/>
    </row>
    <row r="55" spans="1:60" ht="12.75" hidden="1">
      <c r="A55" s="77" t="s">
        <v>50</v>
      </c>
      <c r="B55" s="96"/>
      <c r="C55" s="35">
        <f t="shared" si="7"/>
        <v>0</v>
      </c>
      <c r="D55" s="35"/>
      <c r="E55" s="24"/>
      <c r="F55" s="35"/>
      <c r="G55" s="24"/>
      <c r="H55" s="35"/>
      <c r="I55" s="35">
        <f t="shared" si="8"/>
        <v>0</v>
      </c>
      <c r="J55" s="35"/>
      <c r="K55" s="24"/>
      <c r="L55" s="35"/>
      <c r="M55" s="24"/>
      <c r="N55" s="35"/>
      <c r="O55" s="24"/>
      <c r="P55" s="35"/>
      <c r="Q55" s="24"/>
      <c r="R55" s="35"/>
      <c r="S55" s="24"/>
      <c r="T55" s="35"/>
      <c r="U55" s="35">
        <f t="shared" si="9"/>
        <v>0</v>
      </c>
      <c r="V55" s="96"/>
      <c r="W55" s="81" t="s">
        <v>50</v>
      </c>
      <c r="X55" s="96"/>
      <c r="Y55" s="24"/>
      <c r="Z55" s="17"/>
      <c r="AA55" s="24"/>
      <c r="AB55" s="17"/>
      <c r="AC55" s="24"/>
      <c r="AD55" s="17"/>
      <c r="AE55" s="35">
        <f t="shared" si="10"/>
        <v>0</v>
      </c>
      <c r="AF55" s="40"/>
      <c r="AG55" s="24"/>
      <c r="AH55" s="40"/>
      <c r="AI55" s="24"/>
      <c r="AJ55" s="17"/>
      <c r="AK55" s="184">
        <v>0</v>
      </c>
      <c r="AL55" s="17"/>
      <c r="AM55" s="184">
        <v>0</v>
      </c>
      <c r="AN55" s="17"/>
      <c r="AO55" s="35">
        <f t="shared" si="11"/>
        <v>0</v>
      </c>
      <c r="AP55" s="40"/>
      <c r="AQ55" s="17">
        <v>0</v>
      </c>
      <c r="AR55" s="17"/>
      <c r="AS55" s="17">
        <v>0</v>
      </c>
      <c r="AT55" s="17"/>
      <c r="AU55" s="35">
        <f t="shared" si="12"/>
        <v>0</v>
      </c>
      <c r="AV55" s="96"/>
      <c r="AW55" s="81" t="s">
        <v>50</v>
      </c>
      <c r="AX55" s="96"/>
      <c r="AY55" s="24"/>
      <c r="AZ55" s="17"/>
      <c r="BA55" s="35">
        <v>0</v>
      </c>
      <c r="BB55" s="17"/>
      <c r="BC55" s="35">
        <v>0</v>
      </c>
      <c r="BD55" s="17"/>
      <c r="BE55" s="24"/>
      <c r="BF55" s="17"/>
      <c r="BG55" s="35">
        <f t="shared" si="13"/>
        <v>0</v>
      </c>
      <c r="BH55" s="79"/>
    </row>
    <row r="56" spans="1:60" ht="12.75" hidden="1">
      <c r="A56" s="77" t="s">
        <v>244</v>
      </c>
      <c r="B56" s="96"/>
      <c r="C56" s="35">
        <f t="shared" si="7"/>
        <v>0</v>
      </c>
      <c r="D56" s="35"/>
      <c r="E56" s="24"/>
      <c r="F56" s="35"/>
      <c r="G56" s="24"/>
      <c r="H56" s="35"/>
      <c r="I56" s="35">
        <f t="shared" si="8"/>
        <v>0</v>
      </c>
      <c r="J56" s="35"/>
      <c r="K56" s="24"/>
      <c r="L56" s="35"/>
      <c r="M56" s="24"/>
      <c r="N56" s="35"/>
      <c r="O56" s="24"/>
      <c r="P56" s="35"/>
      <c r="Q56" s="24"/>
      <c r="R56" s="35"/>
      <c r="S56" s="24"/>
      <c r="T56" s="35"/>
      <c r="U56" s="35">
        <f t="shared" si="9"/>
        <v>0</v>
      </c>
      <c r="V56" s="35"/>
      <c r="W56" s="81" t="s">
        <v>51</v>
      </c>
      <c r="X56" s="35"/>
      <c r="Y56" s="24"/>
      <c r="Z56" s="17"/>
      <c r="AA56" s="24"/>
      <c r="AB56" s="17"/>
      <c r="AC56" s="24"/>
      <c r="AD56" s="17"/>
      <c r="AE56" s="35">
        <f t="shared" si="10"/>
        <v>0</v>
      </c>
      <c r="AF56" s="40"/>
      <c r="AG56" s="24"/>
      <c r="AH56" s="40"/>
      <c r="AI56" s="24"/>
      <c r="AJ56" s="17"/>
      <c r="AK56" s="184">
        <v>0</v>
      </c>
      <c r="AL56" s="17"/>
      <c r="AM56" s="184">
        <v>0</v>
      </c>
      <c r="AN56" s="17"/>
      <c r="AO56" s="35">
        <f t="shared" si="11"/>
        <v>0</v>
      </c>
      <c r="AP56" s="40"/>
      <c r="AQ56" s="17">
        <v>0</v>
      </c>
      <c r="AR56" s="17"/>
      <c r="AS56" s="17">
        <v>0</v>
      </c>
      <c r="AT56" s="17"/>
      <c r="AU56" s="35">
        <f t="shared" si="12"/>
        <v>0</v>
      </c>
      <c r="AV56" s="17"/>
      <c r="AW56" s="81" t="s">
        <v>51</v>
      </c>
      <c r="AX56" s="17"/>
      <c r="AY56" s="24"/>
      <c r="AZ56" s="17"/>
      <c r="BA56" s="35">
        <v>0</v>
      </c>
      <c r="BB56" s="17"/>
      <c r="BC56" s="35">
        <v>0</v>
      </c>
      <c r="BD56" s="17"/>
      <c r="BE56" s="24"/>
      <c r="BF56" s="17"/>
      <c r="BG56" s="35">
        <f t="shared" si="13"/>
        <v>0</v>
      </c>
      <c r="BH56" s="79"/>
    </row>
    <row r="57" spans="1:60" ht="12.75" hidden="1">
      <c r="A57" s="77" t="s">
        <v>133</v>
      </c>
      <c r="B57" s="96"/>
      <c r="C57" s="35">
        <f t="shared" si="7"/>
        <v>0</v>
      </c>
      <c r="D57" s="35"/>
      <c r="E57" s="24"/>
      <c r="F57" s="35"/>
      <c r="G57" s="24"/>
      <c r="H57" s="35"/>
      <c r="I57" s="35">
        <f t="shared" si="8"/>
        <v>0</v>
      </c>
      <c r="J57" s="35"/>
      <c r="K57" s="24"/>
      <c r="L57" s="35"/>
      <c r="M57" s="24"/>
      <c r="N57" s="35"/>
      <c r="O57" s="24"/>
      <c r="P57" s="35"/>
      <c r="Q57" s="24"/>
      <c r="R57" s="35"/>
      <c r="S57" s="24"/>
      <c r="T57" s="35"/>
      <c r="U57" s="35">
        <f t="shared" si="9"/>
        <v>0</v>
      </c>
      <c r="V57" s="35"/>
      <c r="W57" s="81" t="s">
        <v>133</v>
      </c>
      <c r="X57" s="35"/>
      <c r="Y57" s="24"/>
      <c r="Z57" s="17"/>
      <c r="AA57" s="24"/>
      <c r="AB57" s="17"/>
      <c r="AC57" s="24"/>
      <c r="AD57" s="17"/>
      <c r="AE57" s="35">
        <f t="shared" si="10"/>
        <v>0</v>
      </c>
      <c r="AF57" s="40"/>
      <c r="AG57" s="24"/>
      <c r="AH57" s="40"/>
      <c r="AI57" s="24"/>
      <c r="AJ57" s="17"/>
      <c r="AK57" s="184">
        <v>0</v>
      </c>
      <c r="AL57" s="17"/>
      <c r="AM57" s="184">
        <v>0</v>
      </c>
      <c r="AN57" s="17"/>
      <c r="AO57" s="35">
        <f t="shared" si="11"/>
        <v>0</v>
      </c>
      <c r="AP57" s="40"/>
      <c r="AQ57" s="17">
        <v>0</v>
      </c>
      <c r="AR57" s="17"/>
      <c r="AS57" s="17">
        <v>0</v>
      </c>
      <c r="AT57" s="17"/>
      <c r="AU57" s="35">
        <f t="shared" si="12"/>
        <v>0</v>
      </c>
      <c r="AV57" s="17"/>
      <c r="AW57" s="81" t="s">
        <v>133</v>
      </c>
      <c r="AX57" s="17"/>
      <c r="AY57" s="24"/>
      <c r="AZ57" s="17"/>
      <c r="BA57" s="35">
        <v>0</v>
      </c>
      <c r="BB57" s="17"/>
      <c r="BC57" s="35">
        <v>0</v>
      </c>
      <c r="BD57" s="17"/>
      <c r="BE57" s="24"/>
      <c r="BF57" s="17"/>
      <c r="BG57" s="35">
        <f t="shared" si="13"/>
        <v>0</v>
      </c>
      <c r="BH57" s="79"/>
    </row>
    <row r="58" spans="1:60" ht="12.75" hidden="1">
      <c r="A58" s="77" t="s">
        <v>52</v>
      </c>
      <c r="B58" s="96"/>
      <c r="C58" s="35">
        <f t="shared" si="7"/>
        <v>0</v>
      </c>
      <c r="D58" s="35"/>
      <c r="E58" s="24"/>
      <c r="F58" s="35"/>
      <c r="G58" s="24"/>
      <c r="H58" s="35"/>
      <c r="I58" s="35">
        <f t="shared" si="8"/>
        <v>0</v>
      </c>
      <c r="J58" s="35"/>
      <c r="K58" s="24"/>
      <c r="L58" s="35"/>
      <c r="M58" s="24"/>
      <c r="N58" s="35"/>
      <c r="O58" s="24"/>
      <c r="P58" s="35"/>
      <c r="Q58" s="24"/>
      <c r="R58" s="35"/>
      <c r="S58" s="24"/>
      <c r="T58" s="35"/>
      <c r="U58" s="35">
        <f t="shared" si="9"/>
        <v>0</v>
      </c>
      <c r="V58" s="96"/>
      <c r="W58" s="81" t="s">
        <v>52</v>
      </c>
      <c r="X58" s="96"/>
      <c r="Y58" s="24"/>
      <c r="Z58" s="17"/>
      <c r="AA58" s="24"/>
      <c r="AB58" s="17"/>
      <c r="AC58" s="24"/>
      <c r="AD58" s="17"/>
      <c r="AE58" s="35">
        <f t="shared" si="10"/>
        <v>0</v>
      </c>
      <c r="AF58" s="40"/>
      <c r="AG58" s="24"/>
      <c r="AH58" s="40"/>
      <c r="AI58" s="24"/>
      <c r="AJ58" s="17"/>
      <c r="AK58" s="184">
        <v>0</v>
      </c>
      <c r="AL58" s="17"/>
      <c r="AM58" s="184">
        <v>0</v>
      </c>
      <c r="AN58" s="17"/>
      <c r="AO58" s="35">
        <f t="shared" si="11"/>
        <v>0</v>
      </c>
      <c r="AP58" s="40"/>
      <c r="AQ58" s="17">
        <v>0</v>
      </c>
      <c r="AR58" s="17"/>
      <c r="AS58" s="17">
        <v>0</v>
      </c>
      <c r="AT58" s="17"/>
      <c r="AU58" s="35">
        <f t="shared" si="12"/>
        <v>0</v>
      </c>
      <c r="AV58" s="96"/>
      <c r="AW58" s="81" t="s">
        <v>52</v>
      </c>
      <c r="AX58" s="96"/>
      <c r="AY58" s="24"/>
      <c r="AZ58" s="17"/>
      <c r="BA58" s="35">
        <v>0</v>
      </c>
      <c r="BB58" s="17"/>
      <c r="BC58" s="35">
        <v>0</v>
      </c>
      <c r="BD58" s="17"/>
      <c r="BE58" s="24"/>
      <c r="BF58" s="17"/>
      <c r="BG58" s="35">
        <f t="shared" si="13"/>
        <v>0</v>
      </c>
      <c r="BH58" s="79"/>
    </row>
    <row r="59" spans="1:60" ht="12.75" hidden="1">
      <c r="A59" s="77" t="s">
        <v>53</v>
      </c>
      <c r="B59" s="96"/>
      <c r="C59" s="35">
        <f t="shared" si="7"/>
        <v>0</v>
      </c>
      <c r="D59" s="35"/>
      <c r="E59" s="24"/>
      <c r="F59" s="35"/>
      <c r="G59" s="24"/>
      <c r="H59" s="35"/>
      <c r="I59" s="35">
        <f t="shared" si="8"/>
        <v>0</v>
      </c>
      <c r="J59" s="35"/>
      <c r="K59" s="24"/>
      <c r="L59" s="35"/>
      <c r="M59" s="24"/>
      <c r="N59" s="35"/>
      <c r="O59" s="24"/>
      <c r="P59" s="35"/>
      <c r="Q59" s="24"/>
      <c r="R59" s="35"/>
      <c r="S59" s="24"/>
      <c r="T59" s="35"/>
      <c r="U59" s="35">
        <f t="shared" si="9"/>
        <v>0</v>
      </c>
      <c r="V59" s="35"/>
      <c r="W59" s="81" t="s">
        <v>53</v>
      </c>
      <c r="X59" s="35"/>
      <c r="Y59" s="24"/>
      <c r="Z59" s="17"/>
      <c r="AA59" s="24"/>
      <c r="AB59" s="17"/>
      <c r="AC59" s="24"/>
      <c r="AD59" s="17"/>
      <c r="AE59" s="35">
        <f t="shared" si="10"/>
        <v>0</v>
      </c>
      <c r="AF59" s="40"/>
      <c r="AG59" s="24"/>
      <c r="AH59" s="40"/>
      <c r="AI59" s="24"/>
      <c r="AJ59" s="17"/>
      <c r="AK59" s="184">
        <v>0</v>
      </c>
      <c r="AL59" s="17"/>
      <c r="AM59" s="184">
        <v>0</v>
      </c>
      <c r="AN59" s="17"/>
      <c r="AO59" s="35">
        <f t="shared" si="11"/>
        <v>0</v>
      </c>
      <c r="AP59" s="40"/>
      <c r="AQ59" s="17">
        <v>0</v>
      </c>
      <c r="AR59" s="17"/>
      <c r="AS59" s="17">
        <v>0</v>
      </c>
      <c r="AT59" s="17"/>
      <c r="AU59" s="35">
        <f t="shared" si="12"/>
        <v>0</v>
      </c>
      <c r="AV59" s="17"/>
      <c r="AW59" s="81" t="s">
        <v>53</v>
      </c>
      <c r="AX59" s="17"/>
      <c r="AY59" s="24"/>
      <c r="AZ59" s="17"/>
      <c r="BA59" s="35">
        <v>0</v>
      </c>
      <c r="BB59" s="17"/>
      <c r="BC59" s="35">
        <v>0</v>
      </c>
      <c r="BD59" s="17"/>
      <c r="BE59" s="24"/>
      <c r="BF59" s="17"/>
      <c r="BG59" s="35">
        <f t="shared" si="13"/>
        <v>0</v>
      </c>
      <c r="BH59" s="79"/>
    </row>
    <row r="60" spans="1:60" ht="12.75" hidden="1">
      <c r="A60" s="77" t="s">
        <v>54</v>
      </c>
      <c r="B60" s="96"/>
      <c r="C60" s="35">
        <f t="shared" si="7"/>
        <v>0</v>
      </c>
      <c r="D60" s="35"/>
      <c r="E60" s="24"/>
      <c r="F60" s="35"/>
      <c r="G60" s="24"/>
      <c r="H60" s="35"/>
      <c r="I60" s="35">
        <f t="shared" si="8"/>
        <v>0</v>
      </c>
      <c r="J60" s="35"/>
      <c r="K60" s="24"/>
      <c r="L60" s="35"/>
      <c r="M60" s="24"/>
      <c r="N60" s="35"/>
      <c r="O60" s="24"/>
      <c r="P60" s="35"/>
      <c r="Q60" s="24"/>
      <c r="R60" s="35"/>
      <c r="S60" s="24"/>
      <c r="T60" s="35"/>
      <c r="U60" s="35">
        <f t="shared" si="9"/>
        <v>0</v>
      </c>
      <c r="V60" s="35"/>
      <c r="W60" s="81" t="s">
        <v>54</v>
      </c>
      <c r="X60" s="35"/>
      <c r="Y60" s="24"/>
      <c r="Z60" s="17"/>
      <c r="AA60" s="24"/>
      <c r="AB60" s="17"/>
      <c r="AC60" s="24"/>
      <c r="AD60" s="17"/>
      <c r="AE60" s="35">
        <f t="shared" si="10"/>
        <v>0</v>
      </c>
      <c r="AF60" s="40"/>
      <c r="AG60" s="24"/>
      <c r="AH60" s="40"/>
      <c r="AI60" s="24"/>
      <c r="AJ60" s="17"/>
      <c r="AK60" s="184">
        <v>0</v>
      </c>
      <c r="AL60" s="17"/>
      <c r="AM60" s="184">
        <v>0</v>
      </c>
      <c r="AN60" s="17"/>
      <c r="AO60" s="35">
        <f t="shared" si="11"/>
        <v>0</v>
      </c>
      <c r="AP60" s="40"/>
      <c r="AQ60" s="17">
        <v>0</v>
      </c>
      <c r="AR60" s="17"/>
      <c r="AS60" s="17">
        <v>0</v>
      </c>
      <c r="AT60" s="17"/>
      <c r="AU60" s="35">
        <f t="shared" si="12"/>
        <v>0</v>
      </c>
      <c r="AV60" s="17"/>
      <c r="AW60" s="81" t="s">
        <v>54</v>
      </c>
      <c r="AX60" s="17"/>
      <c r="AY60" s="24"/>
      <c r="AZ60" s="17"/>
      <c r="BA60" s="35">
        <v>0</v>
      </c>
      <c r="BB60" s="17"/>
      <c r="BC60" s="35">
        <v>0</v>
      </c>
      <c r="BD60" s="17"/>
      <c r="BE60" s="24"/>
      <c r="BF60" s="17"/>
      <c r="BG60" s="35">
        <f t="shared" si="13"/>
        <v>0</v>
      </c>
      <c r="BH60" s="79"/>
    </row>
    <row r="61" spans="1:60" ht="12.75" hidden="1">
      <c r="A61" s="77" t="s">
        <v>55</v>
      </c>
      <c r="B61" s="96"/>
      <c r="C61" s="35">
        <f t="shared" si="7"/>
        <v>0</v>
      </c>
      <c r="D61" s="35"/>
      <c r="E61" s="24"/>
      <c r="F61" s="35"/>
      <c r="G61" s="24"/>
      <c r="H61" s="35"/>
      <c r="I61" s="35">
        <f t="shared" si="8"/>
        <v>0</v>
      </c>
      <c r="J61" s="35"/>
      <c r="K61" s="24"/>
      <c r="L61" s="35"/>
      <c r="M61" s="24"/>
      <c r="N61" s="35"/>
      <c r="O61" s="24"/>
      <c r="P61" s="35"/>
      <c r="Q61" s="24"/>
      <c r="R61" s="35"/>
      <c r="S61" s="24"/>
      <c r="T61" s="35"/>
      <c r="U61" s="35">
        <f t="shared" si="9"/>
        <v>0</v>
      </c>
      <c r="V61" s="35"/>
      <c r="W61" s="81" t="s">
        <v>55</v>
      </c>
      <c r="X61" s="35"/>
      <c r="Y61" s="24"/>
      <c r="Z61" s="17"/>
      <c r="AA61" s="24"/>
      <c r="AB61" s="17"/>
      <c r="AC61" s="24"/>
      <c r="AD61" s="17"/>
      <c r="AE61" s="35">
        <f t="shared" si="10"/>
        <v>0</v>
      </c>
      <c r="AF61" s="40"/>
      <c r="AG61" s="24"/>
      <c r="AH61" s="40"/>
      <c r="AI61" s="24"/>
      <c r="AJ61" s="17"/>
      <c r="AK61" s="184">
        <v>0</v>
      </c>
      <c r="AL61" s="17"/>
      <c r="AM61" s="184">
        <v>0</v>
      </c>
      <c r="AN61" s="17"/>
      <c r="AO61" s="35">
        <f t="shared" si="11"/>
        <v>0</v>
      </c>
      <c r="AP61" s="40"/>
      <c r="AQ61" s="17">
        <v>0</v>
      </c>
      <c r="AR61" s="17"/>
      <c r="AS61" s="17">
        <v>0</v>
      </c>
      <c r="AT61" s="17"/>
      <c r="AU61" s="35">
        <f t="shared" si="12"/>
        <v>0</v>
      </c>
      <c r="AV61" s="17"/>
      <c r="AW61" s="81" t="s">
        <v>55</v>
      </c>
      <c r="AX61" s="17"/>
      <c r="AY61" s="24"/>
      <c r="AZ61" s="17"/>
      <c r="BA61" s="35">
        <v>0</v>
      </c>
      <c r="BB61" s="17"/>
      <c r="BC61" s="35">
        <v>0</v>
      </c>
      <c r="BD61" s="17"/>
      <c r="BE61" s="24"/>
      <c r="BF61" s="17"/>
      <c r="BG61" s="35">
        <f t="shared" si="13"/>
        <v>0</v>
      </c>
      <c r="BH61" s="79"/>
    </row>
    <row r="62" spans="1:60" s="167" customFormat="1" ht="12.75" hidden="1">
      <c r="A62" s="168" t="s">
        <v>170</v>
      </c>
      <c r="B62" s="165"/>
      <c r="C62" s="162">
        <f t="shared" si="7"/>
        <v>0</v>
      </c>
      <c r="D62" s="162"/>
      <c r="E62" s="24"/>
      <c r="F62" s="162"/>
      <c r="G62" s="24"/>
      <c r="H62" s="162"/>
      <c r="I62" s="162">
        <f t="shared" si="8"/>
        <v>0</v>
      </c>
      <c r="J62" s="162"/>
      <c r="K62" s="24"/>
      <c r="L62" s="162"/>
      <c r="M62" s="24"/>
      <c r="N62" s="162"/>
      <c r="O62" s="24"/>
      <c r="P62" s="162"/>
      <c r="Q62" s="24"/>
      <c r="R62" s="162"/>
      <c r="S62" s="24"/>
      <c r="T62" s="162"/>
      <c r="U62" s="162">
        <f t="shared" si="9"/>
        <v>0</v>
      </c>
      <c r="V62" s="165"/>
      <c r="W62" s="169" t="s">
        <v>170</v>
      </c>
      <c r="X62" s="165"/>
      <c r="Y62" s="24"/>
      <c r="Z62" s="161"/>
      <c r="AA62" s="24"/>
      <c r="AB62" s="161"/>
      <c r="AC62" s="24"/>
      <c r="AD62" s="161"/>
      <c r="AE62" s="162">
        <f t="shared" si="10"/>
        <v>0</v>
      </c>
      <c r="AF62" s="164"/>
      <c r="AG62" s="24"/>
      <c r="AH62" s="164"/>
      <c r="AI62" s="24"/>
      <c r="AJ62" s="161"/>
      <c r="AK62" s="184">
        <v>0</v>
      </c>
      <c r="AL62" s="161"/>
      <c r="AM62" s="184">
        <v>0</v>
      </c>
      <c r="AN62" s="161"/>
      <c r="AO62" s="162">
        <f t="shared" si="11"/>
        <v>0</v>
      </c>
      <c r="AP62" s="164"/>
      <c r="AQ62" s="161">
        <v>0</v>
      </c>
      <c r="AR62" s="161"/>
      <c r="AS62" s="161">
        <v>0</v>
      </c>
      <c r="AT62" s="161"/>
      <c r="AU62" s="162">
        <f t="shared" si="12"/>
        <v>0</v>
      </c>
      <c r="AV62" s="165"/>
      <c r="AW62" s="169" t="s">
        <v>170</v>
      </c>
      <c r="AX62" s="165"/>
      <c r="AY62" s="24"/>
      <c r="AZ62" s="161"/>
      <c r="BA62" s="35">
        <v>0</v>
      </c>
      <c r="BB62" s="161"/>
      <c r="BC62" s="35">
        <v>0</v>
      </c>
      <c r="BD62" s="161"/>
      <c r="BE62" s="24"/>
      <c r="BF62" s="161"/>
      <c r="BG62" s="162">
        <f t="shared" si="13"/>
        <v>0</v>
      </c>
      <c r="BH62" s="166"/>
    </row>
    <row r="63" spans="1:60" s="167" customFormat="1" ht="12.75" hidden="1">
      <c r="A63" s="163" t="s">
        <v>56</v>
      </c>
      <c r="B63" s="165"/>
      <c r="C63" s="162">
        <f t="shared" si="7"/>
        <v>0</v>
      </c>
      <c r="D63" s="162"/>
      <c r="E63" s="24"/>
      <c r="F63" s="162"/>
      <c r="G63" s="24"/>
      <c r="H63" s="162"/>
      <c r="I63" s="162">
        <f t="shared" si="8"/>
        <v>0</v>
      </c>
      <c r="J63" s="162"/>
      <c r="K63" s="24"/>
      <c r="L63" s="162"/>
      <c r="M63" s="24"/>
      <c r="N63" s="162"/>
      <c r="O63" s="24"/>
      <c r="P63" s="162"/>
      <c r="Q63" s="24"/>
      <c r="R63" s="162"/>
      <c r="S63" s="24"/>
      <c r="T63" s="162"/>
      <c r="U63" s="162">
        <f t="shared" si="9"/>
        <v>0</v>
      </c>
      <c r="V63" s="165"/>
      <c r="W63" s="160" t="s">
        <v>56</v>
      </c>
      <c r="X63" s="165"/>
      <c r="Y63" s="24"/>
      <c r="Z63" s="161"/>
      <c r="AA63" s="24"/>
      <c r="AB63" s="161"/>
      <c r="AC63" s="24"/>
      <c r="AD63" s="161"/>
      <c r="AE63" s="162">
        <f t="shared" si="10"/>
        <v>0</v>
      </c>
      <c r="AF63" s="164"/>
      <c r="AG63" s="24"/>
      <c r="AH63" s="164"/>
      <c r="AI63" s="24"/>
      <c r="AJ63" s="161"/>
      <c r="AK63" s="184">
        <v>0</v>
      </c>
      <c r="AL63" s="161"/>
      <c r="AM63" s="184">
        <v>0</v>
      </c>
      <c r="AN63" s="161"/>
      <c r="AO63" s="162">
        <f t="shared" si="11"/>
        <v>0</v>
      </c>
      <c r="AP63" s="164"/>
      <c r="AQ63" s="161">
        <v>0</v>
      </c>
      <c r="AR63" s="161"/>
      <c r="AS63" s="161">
        <v>0</v>
      </c>
      <c r="AT63" s="161"/>
      <c r="AU63" s="162">
        <f t="shared" si="12"/>
        <v>0</v>
      </c>
      <c r="AV63" s="165"/>
      <c r="AW63" s="160" t="s">
        <v>56</v>
      </c>
      <c r="AX63" s="165"/>
      <c r="AY63" s="24"/>
      <c r="AZ63" s="161"/>
      <c r="BA63" s="35">
        <v>0</v>
      </c>
      <c r="BB63" s="161"/>
      <c r="BC63" s="35">
        <v>0</v>
      </c>
      <c r="BD63" s="161"/>
      <c r="BE63" s="24"/>
      <c r="BF63" s="161"/>
      <c r="BG63" s="162">
        <f t="shared" si="13"/>
        <v>0</v>
      </c>
      <c r="BH63" s="166"/>
    </row>
    <row r="64" spans="1:60" s="167" customFormat="1" ht="12.75" hidden="1">
      <c r="A64" s="163" t="s">
        <v>57</v>
      </c>
      <c r="B64" s="165"/>
      <c r="C64" s="162">
        <f t="shared" si="7"/>
        <v>0</v>
      </c>
      <c r="D64" s="162"/>
      <c r="E64" s="24"/>
      <c r="F64" s="162"/>
      <c r="G64" s="24"/>
      <c r="H64" s="162"/>
      <c r="I64" s="162">
        <f t="shared" si="8"/>
        <v>0</v>
      </c>
      <c r="J64" s="162"/>
      <c r="K64" s="24"/>
      <c r="L64" s="162"/>
      <c r="M64" s="24"/>
      <c r="N64" s="162"/>
      <c r="O64" s="24"/>
      <c r="P64" s="162"/>
      <c r="Q64" s="24"/>
      <c r="R64" s="162"/>
      <c r="S64" s="24"/>
      <c r="T64" s="162"/>
      <c r="U64" s="162">
        <f t="shared" si="9"/>
        <v>0</v>
      </c>
      <c r="V64" s="162"/>
      <c r="W64" s="160" t="s">
        <v>57</v>
      </c>
      <c r="X64" s="162"/>
      <c r="Y64" s="24"/>
      <c r="Z64" s="161"/>
      <c r="AA64" s="24"/>
      <c r="AB64" s="161"/>
      <c r="AC64" s="24"/>
      <c r="AD64" s="161"/>
      <c r="AE64" s="162">
        <f t="shared" si="10"/>
        <v>0</v>
      </c>
      <c r="AF64" s="164"/>
      <c r="AG64" s="24"/>
      <c r="AH64" s="164"/>
      <c r="AI64" s="24"/>
      <c r="AJ64" s="161"/>
      <c r="AK64" s="184">
        <v>0</v>
      </c>
      <c r="AL64" s="161"/>
      <c r="AM64" s="184">
        <v>0</v>
      </c>
      <c r="AN64" s="161"/>
      <c r="AO64" s="162">
        <f t="shared" si="11"/>
        <v>0</v>
      </c>
      <c r="AP64" s="164"/>
      <c r="AQ64" s="161">
        <v>0</v>
      </c>
      <c r="AR64" s="161"/>
      <c r="AS64" s="161">
        <v>0</v>
      </c>
      <c r="AT64" s="161"/>
      <c r="AU64" s="162">
        <f t="shared" si="12"/>
        <v>0</v>
      </c>
      <c r="AV64" s="161"/>
      <c r="AW64" s="160" t="s">
        <v>57</v>
      </c>
      <c r="AX64" s="161"/>
      <c r="AY64" s="24"/>
      <c r="AZ64" s="161"/>
      <c r="BA64" s="35">
        <v>0</v>
      </c>
      <c r="BB64" s="161"/>
      <c r="BC64" s="35">
        <v>0</v>
      </c>
      <c r="BD64" s="161"/>
      <c r="BE64" s="24"/>
      <c r="BF64" s="161"/>
      <c r="BG64" s="162">
        <f t="shared" si="13"/>
        <v>0</v>
      </c>
      <c r="BH64" s="166"/>
    </row>
    <row r="65" spans="1:60" s="167" customFormat="1" ht="12.75" hidden="1">
      <c r="A65" s="163" t="s">
        <v>58</v>
      </c>
      <c r="B65" s="165"/>
      <c r="C65" s="162">
        <f t="shared" si="7"/>
        <v>0</v>
      </c>
      <c r="D65" s="162"/>
      <c r="E65" s="24"/>
      <c r="F65" s="162"/>
      <c r="G65" s="24"/>
      <c r="H65" s="162"/>
      <c r="I65" s="162">
        <f t="shared" si="8"/>
        <v>0</v>
      </c>
      <c r="J65" s="162"/>
      <c r="K65" s="24"/>
      <c r="L65" s="162"/>
      <c r="M65" s="24"/>
      <c r="N65" s="162"/>
      <c r="O65" s="24"/>
      <c r="P65" s="162"/>
      <c r="Q65" s="24"/>
      <c r="R65" s="162"/>
      <c r="S65" s="24"/>
      <c r="T65" s="162"/>
      <c r="U65" s="162">
        <f t="shared" si="9"/>
        <v>0</v>
      </c>
      <c r="V65" s="162"/>
      <c r="W65" s="160" t="s">
        <v>58</v>
      </c>
      <c r="X65" s="162"/>
      <c r="Y65" s="24"/>
      <c r="Z65" s="161"/>
      <c r="AA65" s="24"/>
      <c r="AB65" s="161"/>
      <c r="AC65" s="24"/>
      <c r="AD65" s="161"/>
      <c r="AE65" s="162">
        <f t="shared" si="10"/>
        <v>0</v>
      </c>
      <c r="AF65" s="164"/>
      <c r="AG65" s="24"/>
      <c r="AH65" s="164"/>
      <c r="AI65" s="24"/>
      <c r="AJ65" s="161"/>
      <c r="AK65" s="184">
        <v>0</v>
      </c>
      <c r="AL65" s="161"/>
      <c r="AM65" s="184">
        <v>0</v>
      </c>
      <c r="AN65" s="161"/>
      <c r="AO65" s="162">
        <f t="shared" si="11"/>
        <v>0</v>
      </c>
      <c r="AP65" s="164"/>
      <c r="AQ65" s="161">
        <v>0</v>
      </c>
      <c r="AR65" s="161"/>
      <c r="AS65" s="161">
        <v>0</v>
      </c>
      <c r="AT65" s="161"/>
      <c r="AU65" s="162">
        <f t="shared" si="12"/>
        <v>0</v>
      </c>
      <c r="AV65" s="161"/>
      <c r="AW65" s="160" t="s">
        <v>58</v>
      </c>
      <c r="AX65" s="161"/>
      <c r="AY65" s="24"/>
      <c r="AZ65" s="161"/>
      <c r="BA65" s="35">
        <v>0</v>
      </c>
      <c r="BB65" s="161"/>
      <c r="BC65" s="35">
        <v>0</v>
      </c>
      <c r="BD65" s="161"/>
      <c r="BE65" s="24"/>
      <c r="BF65" s="161"/>
      <c r="BG65" s="162">
        <f t="shared" si="13"/>
        <v>0</v>
      </c>
      <c r="BH65" s="166"/>
    </row>
    <row r="66" spans="1:60" ht="12.75" hidden="1">
      <c r="A66" s="77" t="s">
        <v>59</v>
      </c>
      <c r="B66" s="96"/>
      <c r="C66" s="35">
        <f>G66-E66</f>
        <v>0</v>
      </c>
      <c r="D66" s="35"/>
      <c r="E66" s="24"/>
      <c r="F66" s="35"/>
      <c r="G66" s="24"/>
      <c r="H66" s="35"/>
      <c r="I66" s="35">
        <f>M66-K66</f>
        <v>0</v>
      </c>
      <c r="J66" s="35"/>
      <c r="K66" s="24"/>
      <c r="L66" s="35"/>
      <c r="M66" s="24"/>
      <c r="N66" s="35"/>
      <c r="O66" s="24"/>
      <c r="P66" s="35"/>
      <c r="Q66" s="24"/>
      <c r="R66" s="35"/>
      <c r="S66" s="24"/>
      <c r="T66" s="35"/>
      <c r="U66" s="35">
        <f>SUM(O66:S66)</f>
        <v>0</v>
      </c>
      <c r="V66" s="35"/>
      <c r="W66" s="81" t="s">
        <v>59</v>
      </c>
      <c r="X66" s="35"/>
      <c r="Y66" s="24"/>
      <c r="Z66" s="17"/>
      <c r="AA66" s="24"/>
      <c r="AB66" s="17"/>
      <c r="AC66" s="24"/>
      <c r="AD66" s="17"/>
      <c r="AE66" s="35">
        <f>+Y66-AA66-AC66</f>
        <v>0</v>
      </c>
      <c r="AF66" s="40"/>
      <c r="AG66" s="24"/>
      <c r="AH66" s="40"/>
      <c r="AI66" s="24"/>
      <c r="AJ66" s="17"/>
      <c r="AK66" s="184">
        <v>0</v>
      </c>
      <c r="AL66" s="17"/>
      <c r="AM66" s="184">
        <v>0</v>
      </c>
      <c r="AN66" s="17"/>
      <c r="AO66" s="35">
        <f>+AE66+AG66+AI66-AK66+AM66</f>
        <v>0</v>
      </c>
      <c r="AP66" s="40"/>
      <c r="AQ66" s="17">
        <v>0</v>
      </c>
      <c r="AR66" s="17"/>
      <c r="AS66" s="17">
        <v>0</v>
      </c>
      <c r="AT66" s="17"/>
      <c r="AU66" s="35">
        <f>+C66-I66</f>
        <v>0</v>
      </c>
      <c r="AV66" s="17"/>
      <c r="AW66" s="81" t="s">
        <v>59</v>
      </c>
      <c r="AX66" s="17"/>
      <c r="AY66" s="24"/>
      <c r="AZ66" s="17"/>
      <c r="BA66" s="35">
        <v>0</v>
      </c>
      <c r="BB66" s="17"/>
      <c r="BC66" s="35">
        <v>0</v>
      </c>
      <c r="BD66" s="17"/>
      <c r="BE66" s="24"/>
      <c r="BF66" s="17"/>
      <c r="BG66" s="35">
        <f>SUM(AY66:BE66)</f>
        <v>0</v>
      </c>
      <c r="BH66" s="79"/>
    </row>
    <row r="67" spans="1:60" ht="12.75" hidden="1">
      <c r="A67" s="77" t="s">
        <v>60</v>
      </c>
      <c r="B67" s="96"/>
      <c r="C67" s="35">
        <f t="shared" si="7"/>
        <v>0</v>
      </c>
      <c r="D67" s="35"/>
      <c r="E67" s="24"/>
      <c r="F67" s="35"/>
      <c r="G67" s="24"/>
      <c r="H67" s="35"/>
      <c r="I67" s="35">
        <f t="shared" si="8"/>
        <v>0</v>
      </c>
      <c r="J67" s="35"/>
      <c r="K67" s="24"/>
      <c r="L67" s="35"/>
      <c r="M67" s="24"/>
      <c r="N67" s="35"/>
      <c r="O67" s="24"/>
      <c r="P67" s="35"/>
      <c r="Q67" s="24"/>
      <c r="R67" s="35"/>
      <c r="S67" s="24"/>
      <c r="T67" s="35"/>
      <c r="U67" s="35">
        <f t="shared" si="9"/>
        <v>0</v>
      </c>
      <c r="V67" s="35"/>
      <c r="W67" s="81" t="s">
        <v>60</v>
      </c>
      <c r="X67" s="35"/>
      <c r="Y67" s="24"/>
      <c r="Z67" s="17"/>
      <c r="AA67" s="24"/>
      <c r="AB67" s="17"/>
      <c r="AC67" s="24"/>
      <c r="AD67" s="17"/>
      <c r="AE67" s="35">
        <f t="shared" si="10"/>
        <v>0</v>
      </c>
      <c r="AF67" s="40"/>
      <c r="AG67" s="24"/>
      <c r="AH67" s="40"/>
      <c r="AI67" s="24"/>
      <c r="AJ67" s="17"/>
      <c r="AK67" s="184">
        <v>0</v>
      </c>
      <c r="AL67" s="17"/>
      <c r="AM67" s="184">
        <v>0</v>
      </c>
      <c r="AN67" s="17"/>
      <c r="AO67" s="35">
        <f t="shared" si="11"/>
        <v>0</v>
      </c>
      <c r="AP67" s="40"/>
      <c r="AQ67" s="17">
        <v>0</v>
      </c>
      <c r="AR67" s="17"/>
      <c r="AS67" s="17">
        <v>0</v>
      </c>
      <c r="AT67" s="17"/>
      <c r="AU67" s="35">
        <f t="shared" si="12"/>
        <v>0</v>
      </c>
      <c r="AV67" s="17"/>
      <c r="AW67" s="81" t="s">
        <v>60</v>
      </c>
      <c r="AX67" s="17"/>
      <c r="AY67" s="24"/>
      <c r="AZ67" s="17"/>
      <c r="BA67" s="35">
        <v>0</v>
      </c>
      <c r="BB67" s="17"/>
      <c r="BC67" s="35">
        <v>0</v>
      </c>
      <c r="BD67" s="17"/>
      <c r="BE67" s="24"/>
      <c r="BF67" s="17"/>
      <c r="BG67" s="35">
        <f t="shared" si="13"/>
        <v>0</v>
      </c>
      <c r="BH67" s="79"/>
    </row>
    <row r="68" spans="1:60" ht="12.75" hidden="1">
      <c r="A68" s="77" t="s">
        <v>97</v>
      </c>
      <c r="B68" s="96"/>
      <c r="C68" s="35">
        <f t="shared" si="7"/>
        <v>0</v>
      </c>
      <c r="D68" s="35"/>
      <c r="E68" s="24"/>
      <c r="F68" s="35"/>
      <c r="G68" s="24"/>
      <c r="H68" s="35"/>
      <c r="I68" s="35">
        <f t="shared" si="8"/>
        <v>0</v>
      </c>
      <c r="J68" s="35"/>
      <c r="K68" s="24"/>
      <c r="L68" s="35"/>
      <c r="M68" s="24"/>
      <c r="N68" s="35"/>
      <c r="O68" s="24"/>
      <c r="P68" s="35"/>
      <c r="Q68" s="24"/>
      <c r="R68" s="35"/>
      <c r="S68" s="24"/>
      <c r="T68" s="35"/>
      <c r="U68" s="35">
        <f t="shared" si="9"/>
        <v>0</v>
      </c>
      <c r="V68" s="35"/>
      <c r="W68" s="81" t="s">
        <v>97</v>
      </c>
      <c r="X68" s="35"/>
      <c r="Y68" s="24"/>
      <c r="Z68" s="17"/>
      <c r="AA68" s="24"/>
      <c r="AB68" s="17"/>
      <c r="AC68" s="24"/>
      <c r="AD68" s="17"/>
      <c r="AE68" s="35">
        <f t="shared" si="10"/>
        <v>0</v>
      </c>
      <c r="AF68" s="40"/>
      <c r="AG68" s="24"/>
      <c r="AH68" s="40"/>
      <c r="AI68" s="24"/>
      <c r="AJ68" s="17"/>
      <c r="AK68" s="184">
        <v>0</v>
      </c>
      <c r="AL68" s="17"/>
      <c r="AM68" s="184">
        <v>0</v>
      </c>
      <c r="AN68" s="17"/>
      <c r="AO68" s="35">
        <f t="shared" si="11"/>
        <v>0</v>
      </c>
      <c r="AP68" s="40"/>
      <c r="AQ68" s="17">
        <v>0</v>
      </c>
      <c r="AR68" s="17"/>
      <c r="AS68" s="17">
        <v>0</v>
      </c>
      <c r="AT68" s="17"/>
      <c r="AU68" s="35">
        <f t="shared" si="12"/>
        <v>0</v>
      </c>
      <c r="AV68" s="17"/>
      <c r="AW68" s="81" t="s">
        <v>97</v>
      </c>
      <c r="AX68" s="17"/>
      <c r="AY68" s="24"/>
      <c r="AZ68" s="17"/>
      <c r="BA68" s="35">
        <v>0</v>
      </c>
      <c r="BB68" s="17"/>
      <c r="BC68" s="35">
        <v>0</v>
      </c>
      <c r="BD68" s="17"/>
      <c r="BE68" s="24"/>
      <c r="BF68" s="17"/>
      <c r="BG68" s="35">
        <f t="shared" si="13"/>
        <v>0</v>
      </c>
      <c r="BH68" s="79"/>
    </row>
    <row r="69" spans="1:60" ht="12.75" hidden="1">
      <c r="A69" s="77" t="s">
        <v>61</v>
      </c>
      <c r="B69" s="96"/>
      <c r="C69" s="35">
        <f t="shared" si="7"/>
        <v>0</v>
      </c>
      <c r="D69" s="35"/>
      <c r="E69" s="24"/>
      <c r="F69" s="35"/>
      <c r="G69" s="24"/>
      <c r="H69" s="35"/>
      <c r="I69" s="35">
        <f t="shared" si="8"/>
        <v>0</v>
      </c>
      <c r="J69" s="35"/>
      <c r="K69" s="24"/>
      <c r="L69" s="35"/>
      <c r="M69" s="24"/>
      <c r="N69" s="35"/>
      <c r="O69" s="24"/>
      <c r="P69" s="35"/>
      <c r="Q69" s="24"/>
      <c r="R69" s="35"/>
      <c r="S69" s="24"/>
      <c r="T69" s="35"/>
      <c r="U69" s="35">
        <f t="shared" si="9"/>
        <v>0</v>
      </c>
      <c r="V69" s="96"/>
      <c r="W69" s="81" t="s">
        <v>61</v>
      </c>
      <c r="X69" s="96"/>
      <c r="Y69" s="24"/>
      <c r="Z69" s="17"/>
      <c r="AA69" s="24"/>
      <c r="AB69" s="17"/>
      <c r="AC69" s="24"/>
      <c r="AD69" s="17"/>
      <c r="AE69" s="35">
        <f t="shared" si="10"/>
        <v>0</v>
      </c>
      <c r="AF69" s="40"/>
      <c r="AG69" s="24"/>
      <c r="AH69" s="40"/>
      <c r="AI69" s="24"/>
      <c r="AJ69" s="17"/>
      <c r="AK69" s="184">
        <v>0</v>
      </c>
      <c r="AL69" s="17"/>
      <c r="AM69" s="184">
        <v>0</v>
      </c>
      <c r="AN69" s="17"/>
      <c r="AO69" s="35">
        <f t="shared" si="11"/>
        <v>0</v>
      </c>
      <c r="AP69" s="40"/>
      <c r="AQ69" s="17">
        <v>0</v>
      </c>
      <c r="AR69" s="17"/>
      <c r="AS69" s="17">
        <v>0</v>
      </c>
      <c r="AT69" s="17"/>
      <c r="AU69" s="35">
        <f t="shared" si="12"/>
        <v>0</v>
      </c>
      <c r="AV69" s="96"/>
      <c r="AW69" s="81" t="s">
        <v>61</v>
      </c>
      <c r="AX69" s="96"/>
      <c r="AY69" s="24"/>
      <c r="AZ69" s="17"/>
      <c r="BA69" s="35">
        <v>0</v>
      </c>
      <c r="BB69" s="17"/>
      <c r="BC69" s="35">
        <v>0</v>
      </c>
      <c r="BD69" s="17"/>
      <c r="BE69" s="24"/>
      <c r="BF69" s="17"/>
      <c r="BG69" s="35">
        <f t="shared" si="13"/>
        <v>0</v>
      </c>
      <c r="BH69" s="79"/>
    </row>
    <row r="70" spans="1:60" ht="12.75" hidden="1">
      <c r="A70" s="77" t="s">
        <v>62</v>
      </c>
      <c r="B70" s="96"/>
      <c r="C70" s="35">
        <f t="shared" si="7"/>
        <v>0</v>
      </c>
      <c r="D70" s="35"/>
      <c r="E70" s="24"/>
      <c r="F70" s="35"/>
      <c r="G70" s="24"/>
      <c r="H70" s="35"/>
      <c r="I70" s="35">
        <f t="shared" si="8"/>
        <v>0</v>
      </c>
      <c r="J70" s="35"/>
      <c r="K70" s="24"/>
      <c r="L70" s="35"/>
      <c r="M70" s="24"/>
      <c r="N70" s="35"/>
      <c r="O70" s="24"/>
      <c r="P70" s="35"/>
      <c r="Q70" s="24"/>
      <c r="R70" s="35"/>
      <c r="S70" s="24"/>
      <c r="T70" s="35"/>
      <c r="U70" s="35">
        <f t="shared" si="9"/>
        <v>0</v>
      </c>
      <c r="V70" s="96"/>
      <c r="W70" s="81" t="s">
        <v>62</v>
      </c>
      <c r="X70" s="96"/>
      <c r="Y70" s="24"/>
      <c r="Z70" s="17"/>
      <c r="AA70" s="24"/>
      <c r="AB70" s="17"/>
      <c r="AC70" s="24"/>
      <c r="AD70" s="17"/>
      <c r="AE70" s="35">
        <f t="shared" si="10"/>
        <v>0</v>
      </c>
      <c r="AF70" s="40"/>
      <c r="AG70" s="24"/>
      <c r="AH70" s="40"/>
      <c r="AI70" s="24"/>
      <c r="AJ70" s="17"/>
      <c r="AK70" s="184">
        <v>0</v>
      </c>
      <c r="AL70" s="17"/>
      <c r="AM70" s="184">
        <v>0</v>
      </c>
      <c r="AN70" s="17"/>
      <c r="AO70" s="35">
        <f t="shared" si="11"/>
        <v>0</v>
      </c>
      <c r="AP70" s="40"/>
      <c r="AQ70" s="17">
        <v>0</v>
      </c>
      <c r="AR70" s="17"/>
      <c r="AS70" s="17">
        <v>0</v>
      </c>
      <c r="AT70" s="17"/>
      <c r="AU70" s="35">
        <f t="shared" si="12"/>
        <v>0</v>
      </c>
      <c r="AV70" s="96"/>
      <c r="AW70" s="81" t="s">
        <v>62</v>
      </c>
      <c r="AX70" s="96"/>
      <c r="AY70" s="24"/>
      <c r="AZ70" s="17"/>
      <c r="BA70" s="35">
        <v>0</v>
      </c>
      <c r="BB70" s="17"/>
      <c r="BC70" s="35">
        <v>0</v>
      </c>
      <c r="BD70" s="17"/>
      <c r="BE70" s="24"/>
      <c r="BF70" s="17"/>
      <c r="BG70" s="35">
        <f t="shared" si="13"/>
        <v>0</v>
      </c>
      <c r="BH70" s="79"/>
    </row>
    <row r="71" spans="1:60" ht="12.75" hidden="1">
      <c r="A71" s="77" t="s">
        <v>63</v>
      </c>
      <c r="B71" s="96"/>
      <c r="C71" s="35">
        <f t="shared" si="7"/>
        <v>0</v>
      </c>
      <c r="D71" s="35"/>
      <c r="E71" s="24"/>
      <c r="F71" s="35"/>
      <c r="G71" s="24"/>
      <c r="H71" s="35"/>
      <c r="I71" s="35">
        <f t="shared" si="8"/>
        <v>0</v>
      </c>
      <c r="J71" s="35"/>
      <c r="K71" s="24"/>
      <c r="L71" s="35"/>
      <c r="M71" s="24"/>
      <c r="N71" s="35"/>
      <c r="O71" s="24"/>
      <c r="P71" s="35"/>
      <c r="Q71" s="24"/>
      <c r="R71" s="35"/>
      <c r="S71" s="24"/>
      <c r="T71" s="35"/>
      <c r="U71" s="35">
        <f t="shared" si="9"/>
        <v>0</v>
      </c>
      <c r="V71" s="96"/>
      <c r="W71" s="81" t="s">
        <v>63</v>
      </c>
      <c r="X71" s="96"/>
      <c r="Y71" s="24"/>
      <c r="Z71" s="17"/>
      <c r="AA71" s="24"/>
      <c r="AB71" s="17"/>
      <c r="AC71" s="24"/>
      <c r="AD71" s="17"/>
      <c r="AE71" s="35">
        <f t="shared" si="10"/>
        <v>0</v>
      </c>
      <c r="AF71" s="40"/>
      <c r="AG71" s="24"/>
      <c r="AH71" s="40"/>
      <c r="AI71" s="24"/>
      <c r="AJ71" s="17"/>
      <c r="AK71" s="184">
        <v>0</v>
      </c>
      <c r="AL71" s="17"/>
      <c r="AM71" s="184">
        <v>0</v>
      </c>
      <c r="AN71" s="17"/>
      <c r="AO71" s="35">
        <f t="shared" si="11"/>
        <v>0</v>
      </c>
      <c r="AP71" s="40"/>
      <c r="AQ71" s="17">
        <v>0</v>
      </c>
      <c r="AR71" s="17"/>
      <c r="AS71" s="17">
        <v>0</v>
      </c>
      <c r="AT71" s="17"/>
      <c r="AU71" s="35">
        <f t="shared" si="12"/>
        <v>0</v>
      </c>
      <c r="AV71" s="96"/>
      <c r="AW71" s="81" t="s">
        <v>63</v>
      </c>
      <c r="AX71" s="96"/>
      <c r="AY71" s="24"/>
      <c r="AZ71" s="17"/>
      <c r="BA71" s="35">
        <v>0</v>
      </c>
      <c r="BB71" s="17"/>
      <c r="BC71" s="35">
        <v>0</v>
      </c>
      <c r="BD71" s="17"/>
      <c r="BE71" s="24"/>
      <c r="BF71" s="17"/>
      <c r="BG71" s="35">
        <f t="shared" si="13"/>
        <v>0</v>
      </c>
      <c r="BH71" s="79"/>
    </row>
    <row r="72" spans="1:60" ht="12.75" hidden="1">
      <c r="A72" s="77" t="s">
        <v>131</v>
      </c>
      <c r="B72" s="96"/>
      <c r="C72" s="35">
        <f t="shared" si="7"/>
        <v>0</v>
      </c>
      <c r="D72" s="35"/>
      <c r="E72" s="24"/>
      <c r="F72" s="35"/>
      <c r="G72" s="24"/>
      <c r="H72" s="35"/>
      <c r="I72" s="35">
        <f t="shared" si="8"/>
        <v>0</v>
      </c>
      <c r="J72" s="35"/>
      <c r="K72" s="24"/>
      <c r="L72" s="35"/>
      <c r="M72" s="24"/>
      <c r="N72" s="35"/>
      <c r="O72" s="24"/>
      <c r="P72" s="35"/>
      <c r="Q72" s="24"/>
      <c r="R72" s="35"/>
      <c r="S72" s="24"/>
      <c r="T72" s="35"/>
      <c r="U72" s="35">
        <f t="shared" si="9"/>
        <v>0</v>
      </c>
      <c r="V72" s="96"/>
      <c r="W72" s="81" t="s">
        <v>131</v>
      </c>
      <c r="X72" s="96"/>
      <c r="Y72" s="24"/>
      <c r="Z72" s="17"/>
      <c r="AA72" s="24"/>
      <c r="AB72" s="17"/>
      <c r="AC72" s="24"/>
      <c r="AD72" s="17"/>
      <c r="AE72" s="35">
        <f t="shared" si="10"/>
        <v>0</v>
      </c>
      <c r="AF72" s="40"/>
      <c r="AG72" s="24"/>
      <c r="AH72" s="40"/>
      <c r="AI72" s="24"/>
      <c r="AJ72" s="17"/>
      <c r="AK72" s="184">
        <v>0</v>
      </c>
      <c r="AL72" s="17"/>
      <c r="AM72" s="184">
        <v>0</v>
      </c>
      <c r="AN72" s="17"/>
      <c r="AO72" s="35">
        <f t="shared" si="11"/>
        <v>0</v>
      </c>
      <c r="AP72" s="40"/>
      <c r="AQ72" s="17">
        <v>0</v>
      </c>
      <c r="AR72" s="17"/>
      <c r="AS72" s="17">
        <v>0</v>
      </c>
      <c r="AT72" s="17"/>
      <c r="AU72" s="35">
        <f t="shared" si="12"/>
        <v>0</v>
      </c>
      <c r="AV72" s="96"/>
      <c r="AW72" s="81" t="s">
        <v>131</v>
      </c>
      <c r="AX72" s="96"/>
      <c r="AY72" s="24"/>
      <c r="AZ72" s="17"/>
      <c r="BA72" s="35">
        <v>0</v>
      </c>
      <c r="BB72" s="17"/>
      <c r="BC72" s="35">
        <v>0</v>
      </c>
      <c r="BD72" s="17"/>
      <c r="BE72" s="24"/>
      <c r="BF72" s="17"/>
      <c r="BG72" s="35">
        <f t="shared" si="13"/>
        <v>0</v>
      </c>
      <c r="BH72" s="79"/>
    </row>
    <row r="73" spans="1:60" ht="12.75" hidden="1">
      <c r="A73" s="77" t="s">
        <v>64</v>
      </c>
      <c r="B73" s="96"/>
      <c r="C73" s="35">
        <f t="shared" si="7"/>
        <v>0</v>
      </c>
      <c r="D73" s="35"/>
      <c r="E73" s="24"/>
      <c r="F73" s="35"/>
      <c r="G73" s="24"/>
      <c r="H73" s="35"/>
      <c r="I73" s="35">
        <f t="shared" si="8"/>
        <v>0</v>
      </c>
      <c r="J73" s="35"/>
      <c r="K73" s="24"/>
      <c r="L73" s="35"/>
      <c r="M73" s="24"/>
      <c r="N73" s="35"/>
      <c r="O73" s="24"/>
      <c r="P73" s="35"/>
      <c r="Q73" s="24"/>
      <c r="R73" s="35"/>
      <c r="S73" s="24"/>
      <c r="T73" s="35"/>
      <c r="U73" s="35">
        <f t="shared" si="9"/>
        <v>0</v>
      </c>
      <c r="V73" s="96"/>
      <c r="W73" s="81" t="s">
        <v>64</v>
      </c>
      <c r="X73" s="96"/>
      <c r="Y73" s="24"/>
      <c r="Z73" s="17"/>
      <c r="AA73" s="24"/>
      <c r="AB73" s="17"/>
      <c r="AC73" s="24"/>
      <c r="AD73" s="17"/>
      <c r="AE73" s="35">
        <f t="shared" si="10"/>
        <v>0</v>
      </c>
      <c r="AF73" s="40"/>
      <c r="AG73" s="24"/>
      <c r="AH73" s="40"/>
      <c r="AI73" s="24"/>
      <c r="AJ73" s="17"/>
      <c r="AK73" s="184">
        <v>0</v>
      </c>
      <c r="AL73" s="17"/>
      <c r="AM73" s="184">
        <v>0</v>
      </c>
      <c r="AN73" s="17"/>
      <c r="AO73" s="35">
        <f t="shared" si="11"/>
        <v>0</v>
      </c>
      <c r="AP73" s="40"/>
      <c r="AQ73" s="17">
        <v>0</v>
      </c>
      <c r="AR73" s="17"/>
      <c r="AS73" s="17">
        <v>0</v>
      </c>
      <c r="AT73" s="17"/>
      <c r="AU73" s="35">
        <f t="shared" si="12"/>
        <v>0</v>
      </c>
      <c r="AV73" s="96"/>
      <c r="AW73" s="81" t="s">
        <v>64</v>
      </c>
      <c r="AX73" s="96"/>
      <c r="AY73" s="24"/>
      <c r="AZ73" s="17"/>
      <c r="BA73" s="35">
        <v>0</v>
      </c>
      <c r="BB73" s="17"/>
      <c r="BC73" s="35">
        <v>0</v>
      </c>
      <c r="BD73" s="17"/>
      <c r="BE73" s="24"/>
      <c r="BF73" s="17"/>
      <c r="BG73" s="35">
        <f t="shared" si="13"/>
        <v>0</v>
      </c>
      <c r="BH73" s="79"/>
    </row>
    <row r="74" spans="1:60" ht="12.75" hidden="1">
      <c r="A74" s="77" t="s">
        <v>65</v>
      </c>
      <c r="B74" s="96"/>
      <c r="C74" s="35">
        <f t="shared" si="7"/>
        <v>0</v>
      </c>
      <c r="D74" s="35"/>
      <c r="E74" s="24"/>
      <c r="F74" s="35"/>
      <c r="G74" s="24"/>
      <c r="H74" s="35"/>
      <c r="I74" s="35">
        <f t="shared" si="8"/>
        <v>0</v>
      </c>
      <c r="J74" s="35"/>
      <c r="K74" s="24"/>
      <c r="L74" s="35"/>
      <c r="M74" s="24"/>
      <c r="N74" s="35"/>
      <c r="O74" s="24"/>
      <c r="P74" s="35"/>
      <c r="Q74" s="24"/>
      <c r="R74" s="35"/>
      <c r="S74" s="24"/>
      <c r="T74" s="35"/>
      <c r="U74" s="35">
        <f t="shared" si="9"/>
        <v>0</v>
      </c>
      <c r="V74" s="96"/>
      <c r="W74" s="81" t="s">
        <v>65</v>
      </c>
      <c r="X74" s="96"/>
      <c r="Y74" s="24"/>
      <c r="Z74" s="17"/>
      <c r="AA74" s="24"/>
      <c r="AB74" s="17"/>
      <c r="AC74" s="24"/>
      <c r="AD74" s="17"/>
      <c r="AE74" s="35">
        <f t="shared" si="10"/>
        <v>0</v>
      </c>
      <c r="AF74" s="40"/>
      <c r="AG74" s="24"/>
      <c r="AH74" s="40"/>
      <c r="AI74" s="24"/>
      <c r="AJ74" s="17"/>
      <c r="AK74" s="184">
        <v>0</v>
      </c>
      <c r="AL74" s="17"/>
      <c r="AM74" s="184">
        <v>0</v>
      </c>
      <c r="AN74" s="17"/>
      <c r="AO74" s="35">
        <f t="shared" si="11"/>
        <v>0</v>
      </c>
      <c r="AP74" s="40"/>
      <c r="AQ74" s="17">
        <v>0</v>
      </c>
      <c r="AR74" s="17"/>
      <c r="AS74" s="17">
        <v>0</v>
      </c>
      <c r="AT74" s="17"/>
      <c r="AU74" s="35">
        <f t="shared" si="12"/>
        <v>0</v>
      </c>
      <c r="AV74" s="96"/>
      <c r="AW74" s="81" t="s">
        <v>65</v>
      </c>
      <c r="AX74" s="96"/>
      <c r="AY74" s="24"/>
      <c r="AZ74" s="17"/>
      <c r="BA74" s="35">
        <v>0</v>
      </c>
      <c r="BB74" s="17"/>
      <c r="BC74" s="35">
        <v>0</v>
      </c>
      <c r="BD74" s="17"/>
      <c r="BE74" s="24"/>
      <c r="BF74" s="17"/>
      <c r="BG74" s="35">
        <f t="shared" si="13"/>
        <v>0</v>
      </c>
      <c r="BH74" s="79"/>
    </row>
    <row r="75" spans="1:60" ht="12.75" hidden="1">
      <c r="A75" s="77" t="s">
        <v>66</v>
      </c>
      <c r="B75" s="96"/>
      <c r="C75" s="35">
        <f t="shared" si="7"/>
        <v>0</v>
      </c>
      <c r="D75" s="35"/>
      <c r="E75" s="24"/>
      <c r="F75" s="35"/>
      <c r="G75" s="24"/>
      <c r="H75" s="35"/>
      <c r="I75" s="35">
        <f aca="true" t="shared" si="14" ref="I75:I96">M75-K75</f>
        <v>0</v>
      </c>
      <c r="J75" s="35"/>
      <c r="K75" s="24"/>
      <c r="L75" s="35"/>
      <c r="M75" s="24"/>
      <c r="N75" s="35"/>
      <c r="O75" s="24"/>
      <c r="P75" s="35"/>
      <c r="Q75" s="24"/>
      <c r="R75" s="35"/>
      <c r="S75" s="24"/>
      <c r="T75" s="35"/>
      <c r="U75" s="35">
        <f aca="true" t="shared" si="15" ref="U75:U96">SUM(O75:S75)</f>
        <v>0</v>
      </c>
      <c r="V75" s="96"/>
      <c r="W75" s="81" t="s">
        <v>66</v>
      </c>
      <c r="X75" s="96"/>
      <c r="Y75" s="24"/>
      <c r="Z75" s="17"/>
      <c r="AA75" s="24"/>
      <c r="AB75" s="17"/>
      <c r="AC75" s="24"/>
      <c r="AD75" s="17"/>
      <c r="AE75" s="35">
        <f aca="true" t="shared" si="16" ref="AE75:AE96">+Y75-AA75-AC75</f>
        <v>0</v>
      </c>
      <c r="AF75" s="40"/>
      <c r="AG75" s="24"/>
      <c r="AH75" s="40"/>
      <c r="AI75" s="24"/>
      <c r="AJ75" s="17"/>
      <c r="AK75" s="184">
        <v>0</v>
      </c>
      <c r="AL75" s="17"/>
      <c r="AM75" s="184">
        <v>0</v>
      </c>
      <c r="AN75" s="17"/>
      <c r="AO75" s="35">
        <f aca="true" t="shared" si="17" ref="AO75:AO96">+AE75+AG75+AI75-AK75+AM75</f>
        <v>0</v>
      </c>
      <c r="AP75" s="40"/>
      <c r="AQ75" s="17">
        <v>0</v>
      </c>
      <c r="AR75" s="17"/>
      <c r="AS75" s="17">
        <v>0</v>
      </c>
      <c r="AT75" s="17"/>
      <c r="AU75" s="35">
        <f aca="true" t="shared" si="18" ref="AU75:AU96">+C75-I75</f>
        <v>0</v>
      </c>
      <c r="AV75" s="96"/>
      <c r="AW75" s="81" t="s">
        <v>66</v>
      </c>
      <c r="AX75" s="96"/>
      <c r="AY75" s="24"/>
      <c r="AZ75" s="17"/>
      <c r="BA75" s="35">
        <v>0</v>
      </c>
      <c r="BB75" s="17"/>
      <c r="BC75" s="35">
        <v>0</v>
      </c>
      <c r="BD75" s="17"/>
      <c r="BE75" s="24"/>
      <c r="BF75" s="17"/>
      <c r="BG75" s="35">
        <f t="shared" si="13"/>
        <v>0</v>
      </c>
      <c r="BH75" s="79"/>
    </row>
    <row r="76" spans="1:60" ht="12.75" hidden="1">
      <c r="A76" s="77" t="s">
        <v>67</v>
      </c>
      <c r="B76" s="96"/>
      <c r="C76" s="35">
        <f t="shared" si="7"/>
        <v>0</v>
      </c>
      <c r="D76" s="35"/>
      <c r="E76" s="24"/>
      <c r="F76" s="35"/>
      <c r="G76" s="24"/>
      <c r="H76" s="35"/>
      <c r="I76" s="35">
        <f t="shared" si="14"/>
        <v>0</v>
      </c>
      <c r="J76" s="35"/>
      <c r="K76" s="24"/>
      <c r="L76" s="35"/>
      <c r="M76" s="24"/>
      <c r="N76" s="35"/>
      <c r="O76" s="24"/>
      <c r="P76" s="35"/>
      <c r="Q76" s="24"/>
      <c r="R76" s="35"/>
      <c r="S76" s="24"/>
      <c r="T76" s="35"/>
      <c r="U76" s="35">
        <f t="shared" si="15"/>
        <v>0</v>
      </c>
      <c r="V76" s="96"/>
      <c r="W76" s="81" t="s">
        <v>67</v>
      </c>
      <c r="X76" s="96"/>
      <c r="Y76" s="24"/>
      <c r="Z76" s="17"/>
      <c r="AA76" s="24"/>
      <c r="AB76" s="17"/>
      <c r="AC76" s="24"/>
      <c r="AD76" s="17"/>
      <c r="AE76" s="35">
        <f t="shared" si="16"/>
        <v>0</v>
      </c>
      <c r="AF76" s="40"/>
      <c r="AG76" s="24"/>
      <c r="AH76" s="40"/>
      <c r="AI76" s="24"/>
      <c r="AJ76" s="17"/>
      <c r="AK76" s="184">
        <v>0</v>
      </c>
      <c r="AL76" s="17"/>
      <c r="AM76" s="184">
        <v>0</v>
      </c>
      <c r="AN76" s="17"/>
      <c r="AO76" s="35">
        <f t="shared" si="17"/>
        <v>0</v>
      </c>
      <c r="AP76" s="40"/>
      <c r="AQ76" s="17">
        <v>0</v>
      </c>
      <c r="AR76" s="17"/>
      <c r="AS76" s="17">
        <v>0</v>
      </c>
      <c r="AT76" s="17"/>
      <c r="AU76" s="35">
        <f t="shared" si="18"/>
        <v>0</v>
      </c>
      <c r="AV76" s="96"/>
      <c r="AW76" s="81" t="s">
        <v>67</v>
      </c>
      <c r="AX76" s="96"/>
      <c r="AY76" s="24"/>
      <c r="AZ76" s="17"/>
      <c r="BA76" s="35">
        <v>0</v>
      </c>
      <c r="BB76" s="17"/>
      <c r="BC76" s="35">
        <v>0</v>
      </c>
      <c r="BD76" s="17"/>
      <c r="BE76" s="24"/>
      <c r="BF76" s="17"/>
      <c r="BG76" s="35">
        <f t="shared" si="13"/>
        <v>0</v>
      </c>
      <c r="BH76" s="79"/>
    </row>
    <row r="77" spans="1:60" ht="12.75">
      <c r="A77" s="77" t="s">
        <v>68</v>
      </c>
      <c r="B77" s="96"/>
      <c r="C77" s="35">
        <f>G77-E77</f>
        <v>2116872</v>
      </c>
      <c r="D77" s="35"/>
      <c r="E77" s="24">
        <v>3177237</v>
      </c>
      <c r="F77" s="35"/>
      <c r="G77" s="24">
        <v>5294109</v>
      </c>
      <c r="H77" s="35"/>
      <c r="I77" s="35">
        <f>M77-K77</f>
        <v>1300983</v>
      </c>
      <c r="J77" s="35"/>
      <c r="K77" s="24">
        <v>6038017</v>
      </c>
      <c r="L77" s="35"/>
      <c r="M77" s="24">
        <v>7339000</v>
      </c>
      <c r="N77" s="35"/>
      <c r="O77" s="24">
        <v>1306583</v>
      </c>
      <c r="P77" s="35"/>
      <c r="Q77" s="24">
        <v>0</v>
      </c>
      <c r="R77" s="35"/>
      <c r="S77" s="24">
        <v>-3351474</v>
      </c>
      <c r="T77" s="35"/>
      <c r="U77" s="35">
        <f t="shared" si="15"/>
        <v>-2044891</v>
      </c>
      <c r="V77" s="35"/>
      <c r="W77" s="81" t="s">
        <v>68</v>
      </c>
      <c r="X77" s="35"/>
      <c r="Y77" s="24">
        <v>2970850</v>
      </c>
      <c r="Z77" s="17"/>
      <c r="AA77" s="24">
        <f>2932209-81170</f>
        <v>2851039</v>
      </c>
      <c r="AB77" s="17"/>
      <c r="AC77" s="24">
        <v>81170</v>
      </c>
      <c r="AD77" s="17"/>
      <c r="AE77" s="35">
        <f t="shared" si="16"/>
        <v>38641</v>
      </c>
      <c r="AF77" s="40"/>
      <c r="AG77" s="24">
        <v>-98745</v>
      </c>
      <c r="AH77" s="40"/>
      <c r="AI77" s="24">
        <v>0</v>
      </c>
      <c r="AJ77" s="17"/>
      <c r="AK77" s="184">
        <v>0</v>
      </c>
      <c r="AL77" s="17"/>
      <c r="AM77" s="184">
        <v>0</v>
      </c>
      <c r="AN77" s="17"/>
      <c r="AO77" s="35">
        <f t="shared" si="17"/>
        <v>-60104</v>
      </c>
      <c r="AP77" s="40"/>
      <c r="AQ77" s="17">
        <v>0</v>
      </c>
      <c r="AR77" s="17"/>
      <c r="AS77" s="17">
        <v>0</v>
      </c>
      <c r="AT77" s="17"/>
      <c r="AU77" s="35">
        <f t="shared" si="18"/>
        <v>815889</v>
      </c>
      <c r="AV77" s="17"/>
      <c r="AW77" s="81" t="s">
        <v>68</v>
      </c>
      <c r="AX77" s="17"/>
      <c r="AY77" s="24">
        <v>1352631</v>
      </c>
      <c r="AZ77" s="17"/>
      <c r="BA77" s="35">
        <v>0</v>
      </c>
      <c r="BB77" s="17"/>
      <c r="BC77" s="35">
        <f>53112</f>
        <v>53112</v>
      </c>
      <c r="BD77" s="17"/>
      <c r="BE77" s="24">
        <f>54000+3970+4574304</f>
        <v>4632274</v>
      </c>
      <c r="BF77" s="17"/>
      <c r="BG77" s="35">
        <f t="shared" si="13"/>
        <v>6038017</v>
      </c>
      <c r="BH77" s="79"/>
    </row>
    <row r="78" spans="1:60" ht="12.75" hidden="1">
      <c r="A78" s="77" t="s">
        <v>175</v>
      </c>
      <c r="B78" s="96"/>
      <c r="C78" s="35">
        <f>G78-E78</f>
        <v>0</v>
      </c>
      <c r="D78" s="35"/>
      <c r="E78" s="24"/>
      <c r="F78" s="35"/>
      <c r="G78" s="24"/>
      <c r="H78" s="35"/>
      <c r="I78" s="35">
        <f t="shared" si="14"/>
        <v>0</v>
      </c>
      <c r="J78" s="35"/>
      <c r="K78" s="24"/>
      <c r="L78" s="35"/>
      <c r="M78" s="24"/>
      <c r="N78" s="35"/>
      <c r="O78" s="24"/>
      <c r="P78" s="35"/>
      <c r="Q78" s="24"/>
      <c r="R78" s="35"/>
      <c r="S78" s="24"/>
      <c r="T78" s="35"/>
      <c r="U78" s="35">
        <f t="shared" si="15"/>
        <v>0</v>
      </c>
      <c r="V78" s="96"/>
      <c r="W78" s="81" t="s">
        <v>175</v>
      </c>
      <c r="X78" s="96"/>
      <c r="Y78" s="24"/>
      <c r="Z78" s="17"/>
      <c r="AA78" s="24"/>
      <c r="AB78" s="17"/>
      <c r="AC78" s="24"/>
      <c r="AD78" s="17"/>
      <c r="AE78" s="35">
        <f t="shared" si="16"/>
        <v>0</v>
      </c>
      <c r="AF78" s="40"/>
      <c r="AG78" s="24"/>
      <c r="AH78" s="40"/>
      <c r="AI78" s="24"/>
      <c r="AJ78" s="17"/>
      <c r="AK78" s="184">
        <v>0</v>
      </c>
      <c r="AL78" s="17"/>
      <c r="AM78" s="184">
        <v>0</v>
      </c>
      <c r="AN78" s="17"/>
      <c r="AO78" s="35">
        <f t="shared" si="17"/>
        <v>0</v>
      </c>
      <c r="AP78" s="40"/>
      <c r="AQ78" s="17">
        <v>0</v>
      </c>
      <c r="AR78" s="17"/>
      <c r="AS78" s="17">
        <v>0</v>
      </c>
      <c r="AT78" s="17"/>
      <c r="AU78" s="35">
        <f t="shared" si="18"/>
        <v>0</v>
      </c>
      <c r="AV78" s="96"/>
      <c r="AW78" s="81" t="s">
        <v>175</v>
      </c>
      <c r="AX78" s="96"/>
      <c r="AY78" s="24"/>
      <c r="AZ78" s="17"/>
      <c r="BA78" s="35">
        <v>0</v>
      </c>
      <c r="BB78" s="17"/>
      <c r="BC78" s="35">
        <v>0</v>
      </c>
      <c r="BD78" s="17"/>
      <c r="BE78" s="24"/>
      <c r="BF78" s="17"/>
      <c r="BG78" s="35">
        <f t="shared" si="13"/>
        <v>0</v>
      </c>
      <c r="BH78" s="79"/>
    </row>
    <row r="79" spans="1:60" ht="12.75" hidden="1">
      <c r="A79" s="77" t="s">
        <v>132</v>
      </c>
      <c r="B79" s="96"/>
      <c r="C79" s="35">
        <f t="shared" si="7"/>
        <v>0</v>
      </c>
      <c r="D79" s="35"/>
      <c r="E79" s="24"/>
      <c r="F79" s="35"/>
      <c r="G79" s="24"/>
      <c r="H79" s="35"/>
      <c r="I79" s="35">
        <f t="shared" si="14"/>
        <v>0</v>
      </c>
      <c r="J79" s="35"/>
      <c r="K79" s="24"/>
      <c r="L79" s="35"/>
      <c r="M79" s="24"/>
      <c r="N79" s="35"/>
      <c r="O79" s="24"/>
      <c r="P79" s="35"/>
      <c r="Q79" s="24"/>
      <c r="R79" s="35"/>
      <c r="S79" s="24"/>
      <c r="T79" s="35"/>
      <c r="U79" s="35">
        <f t="shared" si="15"/>
        <v>0</v>
      </c>
      <c r="V79" s="96"/>
      <c r="W79" s="81" t="s">
        <v>132</v>
      </c>
      <c r="X79" s="96"/>
      <c r="Y79" s="24"/>
      <c r="Z79" s="17"/>
      <c r="AA79" s="24"/>
      <c r="AB79" s="17"/>
      <c r="AC79" s="24"/>
      <c r="AD79" s="17"/>
      <c r="AE79" s="35">
        <f t="shared" si="16"/>
        <v>0</v>
      </c>
      <c r="AF79" s="40"/>
      <c r="AG79" s="24"/>
      <c r="AH79" s="40"/>
      <c r="AI79" s="24"/>
      <c r="AJ79" s="17"/>
      <c r="AK79" s="184">
        <v>0</v>
      </c>
      <c r="AL79" s="17"/>
      <c r="AM79" s="184">
        <v>0</v>
      </c>
      <c r="AN79" s="17"/>
      <c r="AO79" s="35">
        <f t="shared" si="17"/>
        <v>0</v>
      </c>
      <c r="AP79" s="40"/>
      <c r="AQ79" s="17">
        <v>0</v>
      </c>
      <c r="AR79" s="17"/>
      <c r="AS79" s="17">
        <v>0</v>
      </c>
      <c r="AT79" s="17"/>
      <c r="AU79" s="35">
        <f t="shared" si="18"/>
        <v>0</v>
      </c>
      <c r="AV79" s="96"/>
      <c r="AW79" s="81" t="s">
        <v>132</v>
      </c>
      <c r="AX79" s="96"/>
      <c r="AY79" s="24"/>
      <c r="AZ79" s="17"/>
      <c r="BA79" s="35">
        <v>0</v>
      </c>
      <c r="BB79" s="17"/>
      <c r="BC79" s="35">
        <v>0</v>
      </c>
      <c r="BD79" s="17"/>
      <c r="BE79" s="24"/>
      <c r="BF79" s="17"/>
      <c r="BG79" s="35">
        <f t="shared" si="13"/>
        <v>0</v>
      </c>
      <c r="BH79" s="79"/>
    </row>
    <row r="80" spans="1:60" ht="12.75" hidden="1">
      <c r="A80" s="77" t="s">
        <v>69</v>
      </c>
      <c r="B80" s="96"/>
      <c r="C80" s="35">
        <f t="shared" si="7"/>
        <v>0</v>
      </c>
      <c r="D80" s="35"/>
      <c r="E80" s="24"/>
      <c r="F80" s="35"/>
      <c r="G80" s="24"/>
      <c r="H80" s="35"/>
      <c r="I80" s="35">
        <f t="shared" si="14"/>
        <v>0</v>
      </c>
      <c r="J80" s="35"/>
      <c r="K80" s="24"/>
      <c r="L80" s="35"/>
      <c r="M80" s="24"/>
      <c r="N80" s="35"/>
      <c r="O80" s="24"/>
      <c r="P80" s="35"/>
      <c r="Q80" s="24"/>
      <c r="R80" s="35"/>
      <c r="S80" s="24"/>
      <c r="T80" s="35"/>
      <c r="U80" s="35">
        <f t="shared" si="15"/>
        <v>0</v>
      </c>
      <c r="V80" s="96"/>
      <c r="W80" s="81" t="s">
        <v>69</v>
      </c>
      <c r="X80" s="96"/>
      <c r="Y80" s="24"/>
      <c r="Z80" s="17"/>
      <c r="AA80" s="24"/>
      <c r="AB80" s="17"/>
      <c r="AC80" s="24"/>
      <c r="AD80" s="17"/>
      <c r="AE80" s="35">
        <f t="shared" si="16"/>
        <v>0</v>
      </c>
      <c r="AF80" s="40"/>
      <c r="AG80" s="24"/>
      <c r="AH80" s="40"/>
      <c r="AI80" s="24"/>
      <c r="AJ80" s="17"/>
      <c r="AK80" s="184">
        <v>0</v>
      </c>
      <c r="AL80" s="17"/>
      <c r="AM80" s="184">
        <v>0</v>
      </c>
      <c r="AN80" s="17"/>
      <c r="AO80" s="35">
        <f t="shared" si="17"/>
        <v>0</v>
      </c>
      <c r="AP80" s="40"/>
      <c r="AQ80" s="17">
        <v>0</v>
      </c>
      <c r="AR80" s="17"/>
      <c r="AS80" s="17">
        <v>0</v>
      </c>
      <c r="AT80" s="17"/>
      <c r="AU80" s="35">
        <f t="shared" si="18"/>
        <v>0</v>
      </c>
      <c r="AV80" s="96"/>
      <c r="AW80" s="81" t="s">
        <v>69</v>
      </c>
      <c r="AX80" s="96"/>
      <c r="AY80" s="24"/>
      <c r="AZ80" s="17"/>
      <c r="BA80" s="35">
        <v>0</v>
      </c>
      <c r="BB80" s="17"/>
      <c r="BC80" s="35">
        <v>0</v>
      </c>
      <c r="BD80" s="17"/>
      <c r="BE80" s="24"/>
      <c r="BF80" s="17"/>
      <c r="BG80" s="35">
        <f t="shared" si="13"/>
        <v>0</v>
      </c>
      <c r="BH80" s="79"/>
    </row>
    <row r="81" spans="1:60" ht="12.75" hidden="1">
      <c r="A81" s="77" t="s">
        <v>98</v>
      </c>
      <c r="B81" s="96"/>
      <c r="C81" s="35">
        <f t="shared" si="7"/>
        <v>0</v>
      </c>
      <c r="D81" s="35"/>
      <c r="E81" s="24"/>
      <c r="F81" s="35"/>
      <c r="G81" s="24"/>
      <c r="H81" s="35"/>
      <c r="I81" s="35">
        <f t="shared" si="14"/>
        <v>0</v>
      </c>
      <c r="J81" s="35"/>
      <c r="K81" s="24"/>
      <c r="L81" s="35"/>
      <c r="M81" s="24"/>
      <c r="N81" s="35"/>
      <c r="O81" s="24"/>
      <c r="P81" s="35"/>
      <c r="Q81" s="24"/>
      <c r="R81" s="35"/>
      <c r="S81" s="24"/>
      <c r="T81" s="35"/>
      <c r="U81" s="35">
        <f t="shared" si="15"/>
        <v>0</v>
      </c>
      <c r="V81" s="96"/>
      <c r="W81" s="81" t="s">
        <v>98</v>
      </c>
      <c r="X81" s="96"/>
      <c r="Y81" s="24"/>
      <c r="Z81" s="17"/>
      <c r="AA81" s="24"/>
      <c r="AB81" s="17"/>
      <c r="AC81" s="24"/>
      <c r="AD81" s="17"/>
      <c r="AE81" s="35">
        <f t="shared" si="16"/>
        <v>0</v>
      </c>
      <c r="AF81" s="40"/>
      <c r="AG81" s="24"/>
      <c r="AH81" s="40"/>
      <c r="AI81" s="24"/>
      <c r="AJ81" s="17"/>
      <c r="AK81" s="184">
        <v>0</v>
      </c>
      <c r="AL81" s="17"/>
      <c r="AM81" s="184">
        <v>0</v>
      </c>
      <c r="AN81" s="17"/>
      <c r="AO81" s="35">
        <f t="shared" si="17"/>
        <v>0</v>
      </c>
      <c r="AP81" s="40"/>
      <c r="AQ81" s="17">
        <v>0</v>
      </c>
      <c r="AR81" s="17"/>
      <c r="AS81" s="17">
        <v>0</v>
      </c>
      <c r="AT81" s="17"/>
      <c r="AU81" s="35">
        <f t="shared" si="18"/>
        <v>0</v>
      </c>
      <c r="AV81" s="96"/>
      <c r="AW81" s="81" t="s">
        <v>98</v>
      </c>
      <c r="AX81" s="96"/>
      <c r="AY81" s="24"/>
      <c r="AZ81" s="17"/>
      <c r="BA81" s="35">
        <v>0</v>
      </c>
      <c r="BB81" s="17"/>
      <c r="BC81" s="35">
        <v>0</v>
      </c>
      <c r="BD81" s="17"/>
      <c r="BE81" s="24"/>
      <c r="BF81" s="17"/>
      <c r="BG81" s="35">
        <f t="shared" si="13"/>
        <v>0</v>
      </c>
      <c r="BH81" s="79"/>
    </row>
    <row r="82" spans="1:60" ht="12.75" hidden="1">
      <c r="A82" s="77" t="s">
        <v>70</v>
      </c>
      <c r="B82" s="96"/>
      <c r="C82" s="35">
        <f t="shared" si="7"/>
        <v>0</v>
      </c>
      <c r="D82" s="35"/>
      <c r="E82" s="24"/>
      <c r="F82" s="35"/>
      <c r="G82" s="24"/>
      <c r="H82" s="35"/>
      <c r="I82" s="35">
        <f t="shared" si="14"/>
        <v>0</v>
      </c>
      <c r="J82" s="35"/>
      <c r="K82" s="24"/>
      <c r="L82" s="35"/>
      <c r="M82" s="24"/>
      <c r="N82" s="35"/>
      <c r="O82" s="24"/>
      <c r="P82" s="35"/>
      <c r="Q82" s="24"/>
      <c r="R82" s="35"/>
      <c r="S82" s="24"/>
      <c r="T82" s="35"/>
      <c r="U82" s="35">
        <f t="shared" si="15"/>
        <v>0</v>
      </c>
      <c r="V82" s="96"/>
      <c r="W82" s="81" t="s">
        <v>70</v>
      </c>
      <c r="X82" s="96"/>
      <c r="Y82" s="24"/>
      <c r="Z82" s="17"/>
      <c r="AA82" s="24"/>
      <c r="AB82" s="17"/>
      <c r="AC82" s="24"/>
      <c r="AD82" s="17"/>
      <c r="AE82" s="35">
        <f t="shared" si="16"/>
        <v>0</v>
      </c>
      <c r="AF82" s="40"/>
      <c r="AG82" s="24"/>
      <c r="AH82" s="40"/>
      <c r="AI82" s="24"/>
      <c r="AJ82" s="17"/>
      <c r="AK82" s="184">
        <v>0</v>
      </c>
      <c r="AL82" s="17"/>
      <c r="AM82" s="184">
        <v>0</v>
      </c>
      <c r="AN82" s="17"/>
      <c r="AO82" s="35">
        <f t="shared" si="17"/>
        <v>0</v>
      </c>
      <c r="AP82" s="40"/>
      <c r="AQ82" s="17">
        <v>0</v>
      </c>
      <c r="AR82" s="17"/>
      <c r="AS82" s="17">
        <v>0</v>
      </c>
      <c r="AT82" s="17"/>
      <c r="AU82" s="35">
        <f t="shared" si="18"/>
        <v>0</v>
      </c>
      <c r="AV82" s="96"/>
      <c r="AW82" s="81" t="s">
        <v>70</v>
      </c>
      <c r="AX82" s="96"/>
      <c r="AY82" s="24"/>
      <c r="AZ82" s="17"/>
      <c r="BA82" s="35">
        <v>0</v>
      </c>
      <c r="BB82" s="17"/>
      <c r="BC82" s="35">
        <v>0</v>
      </c>
      <c r="BD82" s="17"/>
      <c r="BE82" s="24"/>
      <c r="BF82" s="17"/>
      <c r="BG82" s="35">
        <f t="shared" si="13"/>
        <v>0</v>
      </c>
      <c r="BH82" s="79"/>
    </row>
    <row r="83" spans="1:60" ht="12.75" hidden="1">
      <c r="A83" s="77" t="s">
        <v>71</v>
      </c>
      <c r="B83" s="96"/>
      <c r="C83" s="35">
        <f t="shared" si="7"/>
        <v>0</v>
      </c>
      <c r="D83" s="35"/>
      <c r="E83" s="24"/>
      <c r="F83" s="35"/>
      <c r="G83" s="24"/>
      <c r="H83" s="35"/>
      <c r="I83" s="35">
        <f t="shared" si="14"/>
        <v>0</v>
      </c>
      <c r="J83" s="35"/>
      <c r="K83" s="24"/>
      <c r="L83" s="35"/>
      <c r="M83" s="24"/>
      <c r="N83" s="35"/>
      <c r="O83" s="24"/>
      <c r="P83" s="35"/>
      <c r="Q83" s="24"/>
      <c r="R83" s="35"/>
      <c r="S83" s="24"/>
      <c r="T83" s="35"/>
      <c r="U83" s="35">
        <f t="shared" si="15"/>
        <v>0</v>
      </c>
      <c r="V83" s="96"/>
      <c r="W83" s="81" t="s">
        <v>71</v>
      </c>
      <c r="X83" s="96"/>
      <c r="Y83" s="24"/>
      <c r="Z83" s="17"/>
      <c r="AA83" s="24"/>
      <c r="AB83" s="17"/>
      <c r="AC83" s="24"/>
      <c r="AD83" s="17"/>
      <c r="AE83" s="35">
        <f t="shared" si="16"/>
        <v>0</v>
      </c>
      <c r="AF83" s="40"/>
      <c r="AG83" s="24"/>
      <c r="AH83" s="40"/>
      <c r="AI83" s="24"/>
      <c r="AJ83" s="17"/>
      <c r="AK83" s="184">
        <v>0</v>
      </c>
      <c r="AL83" s="17"/>
      <c r="AM83" s="184">
        <v>0</v>
      </c>
      <c r="AN83" s="17"/>
      <c r="AO83" s="35">
        <f t="shared" si="17"/>
        <v>0</v>
      </c>
      <c r="AP83" s="40"/>
      <c r="AQ83" s="17">
        <v>0</v>
      </c>
      <c r="AR83" s="17"/>
      <c r="AS83" s="17">
        <v>0</v>
      </c>
      <c r="AT83" s="17"/>
      <c r="AU83" s="35">
        <f t="shared" si="18"/>
        <v>0</v>
      </c>
      <c r="AV83" s="96"/>
      <c r="AW83" s="81" t="s">
        <v>71</v>
      </c>
      <c r="AX83" s="96"/>
      <c r="AY83" s="24"/>
      <c r="AZ83" s="17"/>
      <c r="BA83" s="35">
        <v>0</v>
      </c>
      <c r="BB83" s="17"/>
      <c r="BC83" s="35">
        <v>0</v>
      </c>
      <c r="BD83" s="17"/>
      <c r="BE83" s="24"/>
      <c r="BF83" s="17"/>
      <c r="BG83" s="35">
        <f t="shared" si="13"/>
        <v>0</v>
      </c>
      <c r="BH83" s="79"/>
    </row>
    <row r="84" spans="1:60" ht="12.75" hidden="1">
      <c r="A84" s="77" t="s">
        <v>72</v>
      </c>
      <c r="B84" s="96"/>
      <c r="C84" s="35">
        <f t="shared" si="7"/>
        <v>0</v>
      </c>
      <c r="D84" s="35"/>
      <c r="E84" s="24"/>
      <c r="F84" s="35"/>
      <c r="G84" s="24"/>
      <c r="H84" s="35"/>
      <c r="I84" s="35">
        <f t="shared" si="14"/>
        <v>0</v>
      </c>
      <c r="J84" s="35"/>
      <c r="K84" s="24"/>
      <c r="L84" s="35"/>
      <c r="M84" s="24"/>
      <c r="N84" s="35"/>
      <c r="O84" s="24"/>
      <c r="P84" s="35"/>
      <c r="Q84" s="24"/>
      <c r="R84" s="35"/>
      <c r="S84" s="24"/>
      <c r="T84" s="35"/>
      <c r="U84" s="35">
        <f t="shared" si="15"/>
        <v>0</v>
      </c>
      <c r="V84" s="35"/>
      <c r="W84" s="81" t="s">
        <v>72</v>
      </c>
      <c r="X84" s="35"/>
      <c r="Y84" s="24"/>
      <c r="Z84" s="17"/>
      <c r="AA84" s="24"/>
      <c r="AB84" s="17"/>
      <c r="AC84" s="24"/>
      <c r="AD84" s="17"/>
      <c r="AE84" s="35">
        <f t="shared" si="16"/>
        <v>0</v>
      </c>
      <c r="AF84" s="40"/>
      <c r="AG84" s="24"/>
      <c r="AH84" s="40"/>
      <c r="AI84" s="24"/>
      <c r="AJ84" s="17"/>
      <c r="AK84" s="184">
        <v>0</v>
      </c>
      <c r="AL84" s="17"/>
      <c r="AM84" s="184">
        <v>0</v>
      </c>
      <c r="AN84" s="17"/>
      <c r="AO84" s="35">
        <f t="shared" si="17"/>
        <v>0</v>
      </c>
      <c r="AP84" s="40"/>
      <c r="AQ84" s="17">
        <v>0</v>
      </c>
      <c r="AR84" s="17"/>
      <c r="AS84" s="17">
        <v>0</v>
      </c>
      <c r="AT84" s="17"/>
      <c r="AU84" s="35">
        <f t="shared" si="18"/>
        <v>0</v>
      </c>
      <c r="AV84" s="17"/>
      <c r="AW84" s="81" t="s">
        <v>72</v>
      </c>
      <c r="AX84" s="17"/>
      <c r="AY84" s="24"/>
      <c r="AZ84" s="17"/>
      <c r="BA84" s="35">
        <v>0</v>
      </c>
      <c r="BB84" s="17"/>
      <c r="BC84" s="35">
        <v>0</v>
      </c>
      <c r="BD84" s="17"/>
      <c r="BE84" s="24"/>
      <c r="BF84" s="17"/>
      <c r="BG84" s="35">
        <f t="shared" si="13"/>
        <v>0</v>
      </c>
      <c r="BH84" s="79"/>
    </row>
    <row r="85" spans="1:60" ht="12.75" hidden="1">
      <c r="A85" s="77" t="s">
        <v>73</v>
      </c>
      <c r="B85" s="96"/>
      <c r="C85" s="35">
        <f t="shared" si="7"/>
        <v>0</v>
      </c>
      <c r="D85" s="35"/>
      <c r="E85" s="24"/>
      <c r="F85" s="35"/>
      <c r="G85" s="24"/>
      <c r="H85" s="35"/>
      <c r="I85" s="35">
        <f t="shared" si="14"/>
        <v>0</v>
      </c>
      <c r="J85" s="35"/>
      <c r="K85" s="24"/>
      <c r="L85" s="35"/>
      <c r="M85" s="24"/>
      <c r="N85" s="35"/>
      <c r="O85" s="24"/>
      <c r="P85" s="35"/>
      <c r="Q85" s="24"/>
      <c r="R85" s="35"/>
      <c r="S85" s="24"/>
      <c r="T85" s="35"/>
      <c r="U85" s="35">
        <f t="shared" si="15"/>
        <v>0</v>
      </c>
      <c r="V85" s="96"/>
      <c r="W85" s="81" t="s">
        <v>73</v>
      </c>
      <c r="X85" s="96"/>
      <c r="Y85" s="24"/>
      <c r="Z85" s="17"/>
      <c r="AA85" s="24"/>
      <c r="AB85" s="17"/>
      <c r="AC85" s="24"/>
      <c r="AD85" s="17"/>
      <c r="AE85" s="35">
        <f t="shared" si="16"/>
        <v>0</v>
      </c>
      <c r="AF85" s="40"/>
      <c r="AG85" s="24"/>
      <c r="AH85" s="40"/>
      <c r="AI85" s="24"/>
      <c r="AJ85" s="17"/>
      <c r="AK85" s="184">
        <v>0</v>
      </c>
      <c r="AL85" s="17"/>
      <c r="AM85" s="184">
        <v>0</v>
      </c>
      <c r="AN85" s="17"/>
      <c r="AO85" s="35">
        <f t="shared" si="17"/>
        <v>0</v>
      </c>
      <c r="AP85" s="40"/>
      <c r="AQ85" s="17">
        <v>0</v>
      </c>
      <c r="AR85" s="17"/>
      <c r="AS85" s="17">
        <v>0</v>
      </c>
      <c r="AT85" s="17"/>
      <c r="AU85" s="35">
        <f t="shared" si="18"/>
        <v>0</v>
      </c>
      <c r="AV85" s="96"/>
      <c r="AW85" s="81" t="s">
        <v>73</v>
      </c>
      <c r="AX85" s="96"/>
      <c r="AY85" s="24"/>
      <c r="AZ85" s="17"/>
      <c r="BA85" s="35">
        <v>0</v>
      </c>
      <c r="BB85" s="17"/>
      <c r="BC85" s="35">
        <v>0</v>
      </c>
      <c r="BD85" s="17"/>
      <c r="BE85" s="24"/>
      <c r="BF85" s="17"/>
      <c r="BG85" s="35">
        <f t="shared" si="13"/>
        <v>0</v>
      </c>
      <c r="BH85" s="79"/>
    </row>
    <row r="86" spans="1:60" ht="12.75" hidden="1">
      <c r="A86" s="77" t="s">
        <v>74</v>
      </c>
      <c r="B86" s="96"/>
      <c r="C86" s="35">
        <f t="shared" si="7"/>
        <v>0</v>
      </c>
      <c r="D86" s="35"/>
      <c r="E86" s="24"/>
      <c r="F86" s="35"/>
      <c r="G86" s="24"/>
      <c r="H86" s="35"/>
      <c r="I86" s="35">
        <f t="shared" si="14"/>
        <v>0</v>
      </c>
      <c r="J86" s="35"/>
      <c r="K86" s="24"/>
      <c r="L86" s="35"/>
      <c r="M86" s="24"/>
      <c r="N86" s="35"/>
      <c r="O86" s="24"/>
      <c r="P86" s="35"/>
      <c r="Q86" s="24"/>
      <c r="R86" s="35"/>
      <c r="S86" s="24"/>
      <c r="T86" s="35"/>
      <c r="U86" s="35">
        <f t="shared" si="15"/>
        <v>0</v>
      </c>
      <c r="V86" s="96"/>
      <c r="W86" s="81" t="s">
        <v>74</v>
      </c>
      <c r="X86" s="96"/>
      <c r="Y86" s="24"/>
      <c r="Z86" s="17"/>
      <c r="AA86" s="24"/>
      <c r="AB86" s="17"/>
      <c r="AC86" s="24"/>
      <c r="AD86" s="17"/>
      <c r="AE86" s="35">
        <f t="shared" si="16"/>
        <v>0</v>
      </c>
      <c r="AF86" s="40"/>
      <c r="AG86" s="24"/>
      <c r="AH86" s="40"/>
      <c r="AI86" s="24"/>
      <c r="AJ86" s="17"/>
      <c r="AK86" s="184">
        <v>0</v>
      </c>
      <c r="AL86" s="17"/>
      <c r="AM86" s="184">
        <v>0</v>
      </c>
      <c r="AN86" s="17"/>
      <c r="AO86" s="35">
        <f t="shared" si="17"/>
        <v>0</v>
      </c>
      <c r="AP86" s="40"/>
      <c r="AQ86" s="17">
        <v>0</v>
      </c>
      <c r="AR86" s="17"/>
      <c r="AS86" s="17">
        <v>0</v>
      </c>
      <c r="AT86" s="17"/>
      <c r="AU86" s="35">
        <f t="shared" si="18"/>
        <v>0</v>
      </c>
      <c r="AV86" s="96"/>
      <c r="AW86" s="81" t="s">
        <v>74</v>
      </c>
      <c r="AX86" s="96"/>
      <c r="AY86" s="24"/>
      <c r="AZ86" s="17"/>
      <c r="BA86" s="35">
        <v>0</v>
      </c>
      <c r="BB86" s="17"/>
      <c r="BC86" s="35">
        <v>0</v>
      </c>
      <c r="BD86" s="17"/>
      <c r="BE86" s="24"/>
      <c r="BF86" s="17"/>
      <c r="BG86" s="35">
        <f t="shared" si="13"/>
        <v>0</v>
      </c>
      <c r="BH86" s="79"/>
    </row>
    <row r="87" spans="1:60" ht="12.75" hidden="1">
      <c r="A87" s="77" t="s">
        <v>75</v>
      </c>
      <c r="B87" s="96"/>
      <c r="C87" s="35">
        <f t="shared" si="7"/>
        <v>0</v>
      </c>
      <c r="D87" s="35"/>
      <c r="E87" s="24"/>
      <c r="F87" s="35"/>
      <c r="G87" s="24"/>
      <c r="H87" s="35"/>
      <c r="I87" s="35">
        <f t="shared" si="14"/>
        <v>0</v>
      </c>
      <c r="J87" s="35"/>
      <c r="K87" s="24"/>
      <c r="L87" s="35"/>
      <c r="M87" s="24"/>
      <c r="N87" s="35"/>
      <c r="O87" s="24"/>
      <c r="P87" s="35"/>
      <c r="Q87" s="24"/>
      <c r="R87" s="35"/>
      <c r="S87" s="24"/>
      <c r="T87" s="35"/>
      <c r="U87" s="35">
        <f t="shared" si="15"/>
        <v>0</v>
      </c>
      <c r="V87" s="96"/>
      <c r="W87" s="81" t="s">
        <v>75</v>
      </c>
      <c r="X87" s="96"/>
      <c r="Y87" s="24"/>
      <c r="Z87" s="17"/>
      <c r="AA87" s="24"/>
      <c r="AB87" s="17"/>
      <c r="AC87" s="24"/>
      <c r="AD87" s="17"/>
      <c r="AE87" s="35">
        <f t="shared" si="16"/>
        <v>0</v>
      </c>
      <c r="AF87" s="40"/>
      <c r="AG87" s="24"/>
      <c r="AH87" s="40"/>
      <c r="AI87" s="24"/>
      <c r="AJ87" s="17"/>
      <c r="AK87" s="184">
        <v>0</v>
      </c>
      <c r="AL87" s="17"/>
      <c r="AM87" s="184">
        <v>0</v>
      </c>
      <c r="AN87" s="17"/>
      <c r="AO87" s="35">
        <f t="shared" si="17"/>
        <v>0</v>
      </c>
      <c r="AP87" s="40"/>
      <c r="AQ87" s="17">
        <v>0</v>
      </c>
      <c r="AR87" s="17"/>
      <c r="AS87" s="17">
        <v>0</v>
      </c>
      <c r="AT87" s="17"/>
      <c r="AU87" s="35">
        <f t="shared" si="18"/>
        <v>0</v>
      </c>
      <c r="AV87" s="96"/>
      <c r="AW87" s="81" t="s">
        <v>75</v>
      </c>
      <c r="AX87" s="96"/>
      <c r="AY87" s="24"/>
      <c r="AZ87" s="17"/>
      <c r="BA87" s="35">
        <v>0</v>
      </c>
      <c r="BB87" s="17"/>
      <c r="BC87" s="35">
        <v>0</v>
      </c>
      <c r="BD87" s="17"/>
      <c r="BE87" s="24"/>
      <c r="BF87" s="17"/>
      <c r="BG87" s="35">
        <f t="shared" si="13"/>
        <v>0</v>
      </c>
      <c r="BH87" s="79"/>
    </row>
    <row r="88" spans="1:60" ht="12.75" hidden="1">
      <c r="A88" s="77" t="s">
        <v>76</v>
      </c>
      <c r="B88" s="96"/>
      <c r="C88" s="35">
        <f t="shared" si="7"/>
        <v>0</v>
      </c>
      <c r="D88" s="35"/>
      <c r="E88" s="24"/>
      <c r="F88" s="35"/>
      <c r="G88" s="24"/>
      <c r="H88" s="35"/>
      <c r="I88" s="35">
        <f t="shared" si="14"/>
        <v>0</v>
      </c>
      <c r="J88" s="35"/>
      <c r="K88" s="24"/>
      <c r="L88" s="35"/>
      <c r="M88" s="24"/>
      <c r="N88" s="35"/>
      <c r="O88" s="24"/>
      <c r="P88" s="35"/>
      <c r="Q88" s="24"/>
      <c r="R88" s="35"/>
      <c r="S88" s="24"/>
      <c r="T88" s="35"/>
      <c r="U88" s="35">
        <f t="shared" si="15"/>
        <v>0</v>
      </c>
      <c r="V88" s="96"/>
      <c r="W88" s="81" t="s">
        <v>76</v>
      </c>
      <c r="X88" s="96"/>
      <c r="Y88" s="24"/>
      <c r="Z88" s="17"/>
      <c r="AA88" s="24"/>
      <c r="AB88" s="17"/>
      <c r="AC88" s="24"/>
      <c r="AD88" s="17"/>
      <c r="AE88" s="35">
        <f t="shared" si="16"/>
        <v>0</v>
      </c>
      <c r="AF88" s="40"/>
      <c r="AG88" s="24"/>
      <c r="AH88" s="40"/>
      <c r="AI88" s="24"/>
      <c r="AJ88" s="17"/>
      <c r="AK88" s="184">
        <v>0</v>
      </c>
      <c r="AL88" s="17"/>
      <c r="AM88" s="184">
        <v>0</v>
      </c>
      <c r="AN88" s="17"/>
      <c r="AO88" s="35">
        <f t="shared" si="17"/>
        <v>0</v>
      </c>
      <c r="AP88" s="40"/>
      <c r="AQ88" s="17">
        <v>0</v>
      </c>
      <c r="AR88" s="17"/>
      <c r="AS88" s="17">
        <v>0</v>
      </c>
      <c r="AT88" s="17"/>
      <c r="AU88" s="35">
        <f t="shared" si="18"/>
        <v>0</v>
      </c>
      <c r="AV88" s="96"/>
      <c r="AW88" s="81" t="s">
        <v>76</v>
      </c>
      <c r="AX88" s="96"/>
      <c r="AY88" s="24"/>
      <c r="AZ88" s="17"/>
      <c r="BA88" s="35">
        <v>0</v>
      </c>
      <c r="BB88" s="17"/>
      <c r="BC88" s="35">
        <v>0</v>
      </c>
      <c r="BD88" s="17"/>
      <c r="BE88" s="24"/>
      <c r="BF88" s="17"/>
      <c r="BG88" s="35">
        <f t="shared" si="13"/>
        <v>0</v>
      </c>
      <c r="BH88" s="79"/>
    </row>
    <row r="89" spans="1:60" ht="12.75" hidden="1">
      <c r="A89" s="77" t="s">
        <v>77</v>
      </c>
      <c r="B89" s="96"/>
      <c r="C89" s="35">
        <f t="shared" si="7"/>
        <v>0</v>
      </c>
      <c r="D89" s="35"/>
      <c r="E89" s="24"/>
      <c r="F89" s="35"/>
      <c r="G89" s="24"/>
      <c r="H89" s="35"/>
      <c r="I89" s="35">
        <f t="shared" si="14"/>
        <v>0</v>
      </c>
      <c r="J89" s="35"/>
      <c r="K89" s="24"/>
      <c r="L89" s="35"/>
      <c r="M89" s="24"/>
      <c r="N89" s="35"/>
      <c r="O89" s="24"/>
      <c r="P89" s="35"/>
      <c r="Q89" s="24"/>
      <c r="R89" s="35"/>
      <c r="S89" s="24"/>
      <c r="T89" s="35"/>
      <c r="U89" s="35">
        <f t="shared" si="15"/>
        <v>0</v>
      </c>
      <c r="V89" s="96"/>
      <c r="W89" s="81" t="s">
        <v>77</v>
      </c>
      <c r="X89" s="96"/>
      <c r="Y89" s="24"/>
      <c r="Z89" s="17"/>
      <c r="AA89" s="24"/>
      <c r="AB89" s="17"/>
      <c r="AC89" s="24"/>
      <c r="AD89" s="17"/>
      <c r="AE89" s="35">
        <f t="shared" si="16"/>
        <v>0</v>
      </c>
      <c r="AF89" s="40"/>
      <c r="AG89" s="24"/>
      <c r="AH89" s="40"/>
      <c r="AI89" s="24"/>
      <c r="AJ89" s="17"/>
      <c r="AK89" s="184">
        <v>0</v>
      </c>
      <c r="AL89" s="17"/>
      <c r="AM89" s="184">
        <v>0</v>
      </c>
      <c r="AN89" s="17"/>
      <c r="AO89" s="35">
        <f t="shared" si="17"/>
        <v>0</v>
      </c>
      <c r="AP89" s="40"/>
      <c r="AQ89" s="17">
        <v>0</v>
      </c>
      <c r="AR89" s="17"/>
      <c r="AS89" s="17">
        <v>0</v>
      </c>
      <c r="AT89" s="17"/>
      <c r="AU89" s="35">
        <f t="shared" si="18"/>
        <v>0</v>
      </c>
      <c r="AV89" s="96"/>
      <c r="AW89" s="81" t="s">
        <v>77</v>
      </c>
      <c r="AX89" s="96"/>
      <c r="AY89" s="24"/>
      <c r="AZ89" s="17"/>
      <c r="BA89" s="35">
        <v>0</v>
      </c>
      <c r="BB89" s="17"/>
      <c r="BC89" s="35">
        <v>0</v>
      </c>
      <c r="BD89" s="17"/>
      <c r="BE89" s="24"/>
      <c r="BF89" s="17"/>
      <c r="BG89" s="35">
        <f t="shared" si="13"/>
        <v>0</v>
      </c>
      <c r="BH89" s="79"/>
    </row>
    <row r="90" spans="1:60" ht="12.75" hidden="1">
      <c r="A90" s="77" t="s">
        <v>78</v>
      </c>
      <c r="B90" s="96"/>
      <c r="C90" s="35">
        <f t="shared" si="7"/>
        <v>0</v>
      </c>
      <c r="D90" s="35"/>
      <c r="E90" s="24"/>
      <c r="F90" s="35"/>
      <c r="G90" s="24"/>
      <c r="H90" s="35"/>
      <c r="I90" s="35">
        <f t="shared" si="14"/>
        <v>0</v>
      </c>
      <c r="J90" s="35"/>
      <c r="K90" s="24"/>
      <c r="L90" s="35"/>
      <c r="M90" s="24"/>
      <c r="N90" s="35"/>
      <c r="O90" s="24"/>
      <c r="P90" s="35"/>
      <c r="Q90" s="24"/>
      <c r="R90" s="35"/>
      <c r="S90" s="24"/>
      <c r="T90" s="35"/>
      <c r="U90" s="35">
        <f t="shared" si="15"/>
        <v>0</v>
      </c>
      <c r="V90" s="96"/>
      <c r="W90" s="81" t="s">
        <v>78</v>
      </c>
      <c r="X90" s="96"/>
      <c r="Y90" s="24"/>
      <c r="Z90" s="17"/>
      <c r="AA90" s="24"/>
      <c r="AB90" s="17"/>
      <c r="AC90" s="24"/>
      <c r="AD90" s="17"/>
      <c r="AE90" s="35">
        <f t="shared" si="16"/>
        <v>0</v>
      </c>
      <c r="AF90" s="40"/>
      <c r="AG90" s="24"/>
      <c r="AH90" s="40"/>
      <c r="AI90" s="24"/>
      <c r="AJ90" s="17"/>
      <c r="AK90" s="184">
        <v>0</v>
      </c>
      <c r="AL90" s="17"/>
      <c r="AM90" s="184">
        <v>0</v>
      </c>
      <c r="AN90" s="17"/>
      <c r="AO90" s="35">
        <f t="shared" si="17"/>
        <v>0</v>
      </c>
      <c r="AP90" s="40"/>
      <c r="AQ90" s="17">
        <v>0</v>
      </c>
      <c r="AR90" s="17"/>
      <c r="AS90" s="17">
        <v>0</v>
      </c>
      <c r="AT90" s="17"/>
      <c r="AU90" s="35">
        <f t="shared" si="18"/>
        <v>0</v>
      </c>
      <c r="AV90" s="96"/>
      <c r="AW90" s="81" t="s">
        <v>78</v>
      </c>
      <c r="AX90" s="96"/>
      <c r="AY90" s="24"/>
      <c r="AZ90" s="17"/>
      <c r="BA90" s="35">
        <v>0</v>
      </c>
      <c r="BB90" s="17"/>
      <c r="BC90" s="35">
        <v>0</v>
      </c>
      <c r="BD90" s="17"/>
      <c r="BE90" s="24"/>
      <c r="BF90" s="17"/>
      <c r="BG90" s="35">
        <f t="shared" si="13"/>
        <v>0</v>
      </c>
      <c r="BH90" s="79"/>
    </row>
    <row r="91" spans="1:60" ht="12.75" hidden="1">
      <c r="A91" s="77" t="s">
        <v>79</v>
      </c>
      <c r="B91" s="96"/>
      <c r="C91" s="35">
        <f aca="true" t="shared" si="19" ref="C91:C97">G91-E91</f>
        <v>0</v>
      </c>
      <c r="D91" s="35"/>
      <c r="E91" s="24"/>
      <c r="F91" s="35"/>
      <c r="G91" s="24"/>
      <c r="H91" s="35"/>
      <c r="I91" s="35">
        <f t="shared" si="14"/>
        <v>0</v>
      </c>
      <c r="J91" s="35"/>
      <c r="K91" s="24"/>
      <c r="L91" s="35"/>
      <c r="M91" s="24"/>
      <c r="N91" s="35"/>
      <c r="O91" s="24"/>
      <c r="P91" s="35"/>
      <c r="Q91" s="24"/>
      <c r="R91" s="35"/>
      <c r="S91" s="24"/>
      <c r="T91" s="35"/>
      <c r="U91" s="35">
        <f t="shared" si="15"/>
        <v>0</v>
      </c>
      <c r="V91" s="96"/>
      <c r="W91" s="81" t="s">
        <v>79</v>
      </c>
      <c r="X91" s="96"/>
      <c r="Y91" s="24"/>
      <c r="Z91" s="17"/>
      <c r="AA91" s="24"/>
      <c r="AB91" s="17"/>
      <c r="AC91" s="24"/>
      <c r="AD91" s="17"/>
      <c r="AE91" s="35">
        <f t="shared" si="16"/>
        <v>0</v>
      </c>
      <c r="AF91" s="40"/>
      <c r="AG91" s="24"/>
      <c r="AH91" s="40"/>
      <c r="AI91" s="24"/>
      <c r="AJ91" s="17"/>
      <c r="AK91" s="184">
        <v>0</v>
      </c>
      <c r="AL91" s="17"/>
      <c r="AM91" s="184">
        <v>0</v>
      </c>
      <c r="AN91" s="17"/>
      <c r="AO91" s="35">
        <f t="shared" si="17"/>
        <v>0</v>
      </c>
      <c r="AP91" s="40"/>
      <c r="AQ91" s="17">
        <v>0</v>
      </c>
      <c r="AR91" s="17"/>
      <c r="AS91" s="17">
        <v>0</v>
      </c>
      <c r="AT91" s="17"/>
      <c r="AU91" s="35">
        <f t="shared" si="18"/>
        <v>0</v>
      </c>
      <c r="AV91" s="96"/>
      <c r="AW91" s="81" t="s">
        <v>79</v>
      </c>
      <c r="AX91" s="96"/>
      <c r="AY91" s="24"/>
      <c r="AZ91" s="17"/>
      <c r="BA91" s="35">
        <v>0</v>
      </c>
      <c r="BB91" s="17"/>
      <c r="BC91" s="35">
        <v>0</v>
      </c>
      <c r="BD91" s="17"/>
      <c r="BE91" s="24"/>
      <c r="BF91" s="17"/>
      <c r="BG91" s="35">
        <f aca="true" t="shared" si="20" ref="BG91:BG96">SUM(AY91:BE91)</f>
        <v>0</v>
      </c>
      <c r="BH91" s="79"/>
    </row>
    <row r="92" spans="1:60" ht="12.75" hidden="1">
      <c r="A92" s="77" t="s">
        <v>80</v>
      </c>
      <c r="B92" s="96"/>
      <c r="C92" s="35">
        <f t="shared" si="19"/>
        <v>0</v>
      </c>
      <c r="D92" s="35"/>
      <c r="E92" s="24"/>
      <c r="F92" s="35"/>
      <c r="G92" s="24"/>
      <c r="H92" s="35"/>
      <c r="I92" s="35">
        <f t="shared" si="14"/>
        <v>0</v>
      </c>
      <c r="J92" s="35"/>
      <c r="K92" s="24"/>
      <c r="L92" s="35"/>
      <c r="M92" s="24"/>
      <c r="N92" s="35"/>
      <c r="O92" s="24"/>
      <c r="P92" s="35"/>
      <c r="Q92" s="24"/>
      <c r="R92" s="35"/>
      <c r="S92" s="24"/>
      <c r="T92" s="35"/>
      <c r="U92" s="35">
        <f t="shared" si="15"/>
        <v>0</v>
      </c>
      <c r="V92" s="96"/>
      <c r="W92" s="81" t="s">
        <v>80</v>
      </c>
      <c r="X92" s="96"/>
      <c r="Y92" s="24"/>
      <c r="Z92" s="17"/>
      <c r="AA92" s="24"/>
      <c r="AB92" s="17"/>
      <c r="AC92" s="24"/>
      <c r="AD92" s="17"/>
      <c r="AE92" s="35">
        <f t="shared" si="16"/>
        <v>0</v>
      </c>
      <c r="AF92" s="40"/>
      <c r="AG92" s="24"/>
      <c r="AH92" s="40"/>
      <c r="AI92" s="24"/>
      <c r="AJ92" s="17"/>
      <c r="AK92" s="184">
        <v>0</v>
      </c>
      <c r="AL92" s="17"/>
      <c r="AM92" s="184">
        <v>0</v>
      </c>
      <c r="AN92" s="17"/>
      <c r="AO92" s="35">
        <f t="shared" si="17"/>
        <v>0</v>
      </c>
      <c r="AP92" s="40"/>
      <c r="AQ92" s="17">
        <v>0</v>
      </c>
      <c r="AR92" s="17"/>
      <c r="AS92" s="17">
        <v>0</v>
      </c>
      <c r="AT92" s="17"/>
      <c r="AU92" s="35">
        <f t="shared" si="18"/>
        <v>0</v>
      </c>
      <c r="AV92" s="96"/>
      <c r="AW92" s="81" t="s">
        <v>80</v>
      </c>
      <c r="AX92" s="96"/>
      <c r="AY92" s="24"/>
      <c r="AZ92" s="17"/>
      <c r="BA92" s="35">
        <v>0</v>
      </c>
      <c r="BB92" s="17"/>
      <c r="BC92" s="35">
        <v>0</v>
      </c>
      <c r="BD92" s="17"/>
      <c r="BE92" s="24"/>
      <c r="BF92" s="17"/>
      <c r="BG92" s="35">
        <f t="shared" si="20"/>
        <v>0</v>
      </c>
      <c r="BH92" s="79"/>
    </row>
    <row r="93" spans="1:60" ht="12.75" hidden="1">
      <c r="A93" s="77" t="s">
        <v>81</v>
      </c>
      <c r="B93" s="96"/>
      <c r="C93" s="35">
        <f t="shared" si="19"/>
        <v>0</v>
      </c>
      <c r="D93" s="35"/>
      <c r="E93" s="24"/>
      <c r="F93" s="35"/>
      <c r="G93" s="24"/>
      <c r="H93" s="35"/>
      <c r="I93" s="35">
        <f t="shared" si="14"/>
        <v>0</v>
      </c>
      <c r="J93" s="35"/>
      <c r="K93" s="24"/>
      <c r="L93" s="35"/>
      <c r="M93" s="24"/>
      <c r="N93" s="35"/>
      <c r="O93" s="24"/>
      <c r="P93" s="35"/>
      <c r="Q93" s="24"/>
      <c r="R93" s="35"/>
      <c r="S93" s="24"/>
      <c r="T93" s="35"/>
      <c r="U93" s="35">
        <f t="shared" si="15"/>
        <v>0</v>
      </c>
      <c r="V93" s="96"/>
      <c r="W93" s="81" t="s">
        <v>81</v>
      </c>
      <c r="X93" s="96"/>
      <c r="Y93" s="24"/>
      <c r="Z93" s="17"/>
      <c r="AA93" s="24"/>
      <c r="AB93" s="17"/>
      <c r="AC93" s="24"/>
      <c r="AD93" s="17"/>
      <c r="AE93" s="35">
        <f t="shared" si="16"/>
        <v>0</v>
      </c>
      <c r="AF93" s="40"/>
      <c r="AG93" s="24"/>
      <c r="AH93" s="40"/>
      <c r="AI93" s="24"/>
      <c r="AJ93" s="17"/>
      <c r="AK93" s="184">
        <v>0</v>
      </c>
      <c r="AL93" s="17"/>
      <c r="AM93" s="184">
        <v>0</v>
      </c>
      <c r="AN93" s="17"/>
      <c r="AO93" s="35">
        <f t="shared" si="17"/>
        <v>0</v>
      </c>
      <c r="AP93" s="40"/>
      <c r="AQ93" s="17">
        <v>0</v>
      </c>
      <c r="AR93" s="17"/>
      <c r="AS93" s="17">
        <v>0</v>
      </c>
      <c r="AT93" s="17"/>
      <c r="AU93" s="35">
        <f t="shared" si="18"/>
        <v>0</v>
      </c>
      <c r="AV93" s="96"/>
      <c r="AW93" s="81" t="s">
        <v>81</v>
      </c>
      <c r="AX93" s="96"/>
      <c r="AY93" s="24"/>
      <c r="AZ93" s="17"/>
      <c r="BA93" s="35">
        <v>0</v>
      </c>
      <c r="BB93" s="17"/>
      <c r="BC93" s="35">
        <v>0</v>
      </c>
      <c r="BD93" s="17"/>
      <c r="BE93" s="24"/>
      <c r="BF93" s="17"/>
      <c r="BG93" s="35">
        <f t="shared" si="20"/>
        <v>0</v>
      </c>
      <c r="BH93" s="79"/>
    </row>
    <row r="94" spans="1:60" ht="12.75" hidden="1">
      <c r="A94" s="77" t="s">
        <v>135</v>
      </c>
      <c r="B94" s="96"/>
      <c r="C94" s="35">
        <f t="shared" si="19"/>
        <v>0</v>
      </c>
      <c r="D94" s="35"/>
      <c r="E94" s="24"/>
      <c r="F94" s="35"/>
      <c r="G94" s="24"/>
      <c r="H94" s="35"/>
      <c r="I94" s="35">
        <f t="shared" si="14"/>
        <v>0</v>
      </c>
      <c r="J94" s="35"/>
      <c r="K94" s="24"/>
      <c r="L94" s="35"/>
      <c r="M94" s="24"/>
      <c r="N94" s="35"/>
      <c r="O94" s="24"/>
      <c r="P94" s="35"/>
      <c r="Q94" s="24"/>
      <c r="R94" s="35"/>
      <c r="S94" s="24"/>
      <c r="T94" s="35"/>
      <c r="U94" s="35">
        <f t="shared" si="15"/>
        <v>0</v>
      </c>
      <c r="V94" s="96"/>
      <c r="W94" s="81" t="s">
        <v>135</v>
      </c>
      <c r="X94" s="96"/>
      <c r="Y94" s="24"/>
      <c r="Z94" s="17"/>
      <c r="AA94" s="24"/>
      <c r="AB94" s="17"/>
      <c r="AC94" s="24"/>
      <c r="AD94" s="17"/>
      <c r="AE94" s="35">
        <f t="shared" si="16"/>
        <v>0</v>
      </c>
      <c r="AF94" s="40"/>
      <c r="AG94" s="24"/>
      <c r="AH94" s="40"/>
      <c r="AI94" s="24"/>
      <c r="AJ94" s="17"/>
      <c r="AK94" s="184">
        <v>0</v>
      </c>
      <c r="AL94" s="17"/>
      <c r="AM94" s="184">
        <v>0</v>
      </c>
      <c r="AN94" s="17"/>
      <c r="AO94" s="35">
        <f t="shared" si="17"/>
        <v>0</v>
      </c>
      <c r="AP94" s="40"/>
      <c r="AQ94" s="17">
        <v>0</v>
      </c>
      <c r="AR94" s="17"/>
      <c r="AS94" s="17">
        <v>0</v>
      </c>
      <c r="AT94" s="17"/>
      <c r="AU94" s="35">
        <f t="shared" si="18"/>
        <v>0</v>
      </c>
      <c r="AV94" s="96"/>
      <c r="AW94" s="81" t="s">
        <v>135</v>
      </c>
      <c r="AX94" s="96"/>
      <c r="AY94" s="24"/>
      <c r="AZ94" s="17"/>
      <c r="BA94" s="35">
        <v>0</v>
      </c>
      <c r="BB94" s="17"/>
      <c r="BC94" s="35">
        <v>0</v>
      </c>
      <c r="BD94" s="17"/>
      <c r="BE94" s="24"/>
      <c r="BF94" s="17"/>
      <c r="BG94" s="35">
        <f t="shared" si="20"/>
        <v>0</v>
      </c>
      <c r="BH94" s="79"/>
    </row>
    <row r="95" spans="1:60" ht="12.75" hidden="1">
      <c r="A95" s="77" t="s">
        <v>173</v>
      </c>
      <c r="B95" s="96"/>
      <c r="C95" s="35">
        <f t="shared" si="19"/>
        <v>0</v>
      </c>
      <c r="D95" s="35"/>
      <c r="E95" s="24"/>
      <c r="F95" s="35"/>
      <c r="G95" s="24"/>
      <c r="H95" s="35"/>
      <c r="I95" s="35">
        <f t="shared" si="14"/>
        <v>0</v>
      </c>
      <c r="J95" s="35"/>
      <c r="K95" s="24"/>
      <c r="L95" s="35"/>
      <c r="M95" s="24"/>
      <c r="N95" s="35"/>
      <c r="O95" s="24"/>
      <c r="P95" s="35"/>
      <c r="Q95" s="24"/>
      <c r="R95" s="35"/>
      <c r="S95" s="24"/>
      <c r="T95" s="35"/>
      <c r="U95" s="35">
        <f t="shared" si="15"/>
        <v>0</v>
      </c>
      <c r="V95" s="96"/>
      <c r="W95" s="81" t="s">
        <v>173</v>
      </c>
      <c r="X95" s="96"/>
      <c r="Y95" s="24"/>
      <c r="Z95" s="17"/>
      <c r="AA95" s="24"/>
      <c r="AB95" s="17"/>
      <c r="AC95" s="24"/>
      <c r="AD95" s="17"/>
      <c r="AE95" s="35">
        <f t="shared" si="16"/>
        <v>0</v>
      </c>
      <c r="AF95" s="40"/>
      <c r="AG95" s="24"/>
      <c r="AH95" s="40"/>
      <c r="AI95" s="24"/>
      <c r="AJ95" s="17"/>
      <c r="AK95" s="184">
        <v>0</v>
      </c>
      <c r="AL95" s="17"/>
      <c r="AM95" s="184">
        <v>0</v>
      </c>
      <c r="AN95" s="17"/>
      <c r="AO95" s="35">
        <f t="shared" si="17"/>
        <v>0</v>
      </c>
      <c r="AP95" s="40"/>
      <c r="AQ95" s="17">
        <v>0</v>
      </c>
      <c r="AR95" s="17"/>
      <c r="AS95" s="17">
        <v>0</v>
      </c>
      <c r="AT95" s="17"/>
      <c r="AU95" s="35">
        <f t="shared" si="18"/>
        <v>0</v>
      </c>
      <c r="AV95" s="96"/>
      <c r="AW95" s="81" t="s">
        <v>173</v>
      </c>
      <c r="AX95" s="96"/>
      <c r="AY95" s="24"/>
      <c r="AZ95" s="17"/>
      <c r="BA95" s="35">
        <v>0</v>
      </c>
      <c r="BB95" s="17"/>
      <c r="BC95" s="35">
        <v>0</v>
      </c>
      <c r="BD95" s="17"/>
      <c r="BE95" s="24"/>
      <c r="BF95" s="17"/>
      <c r="BG95" s="35">
        <f t="shared" si="20"/>
        <v>0</v>
      </c>
      <c r="BH95" s="79"/>
    </row>
    <row r="96" spans="1:60" ht="12.75">
      <c r="A96" s="77" t="s">
        <v>83</v>
      </c>
      <c r="B96" s="96"/>
      <c r="C96" s="35">
        <f t="shared" si="19"/>
        <v>1108730</v>
      </c>
      <c r="D96" s="35"/>
      <c r="E96" s="24">
        <v>1536203</v>
      </c>
      <c r="F96" s="35"/>
      <c r="G96" s="24">
        <v>2644933</v>
      </c>
      <c r="H96" s="35"/>
      <c r="I96" s="35">
        <f t="shared" si="14"/>
        <v>1166978</v>
      </c>
      <c r="J96" s="35"/>
      <c r="K96" s="24">
        <v>6453099</v>
      </c>
      <c r="L96" s="35"/>
      <c r="M96" s="24">
        <v>7620077</v>
      </c>
      <c r="N96" s="35"/>
      <c r="O96" s="24">
        <v>521653</v>
      </c>
      <c r="P96" s="35"/>
      <c r="Q96" s="24">
        <v>0</v>
      </c>
      <c r="R96" s="35"/>
      <c r="S96" s="24">
        <v>-5496797</v>
      </c>
      <c r="T96" s="35"/>
      <c r="U96" s="35">
        <f t="shared" si="15"/>
        <v>-4975144</v>
      </c>
      <c r="V96" s="35"/>
      <c r="W96" s="81" t="s">
        <v>83</v>
      </c>
      <c r="X96" s="35"/>
      <c r="Y96" s="24">
        <v>1793624</v>
      </c>
      <c r="Z96" s="17"/>
      <c r="AA96" s="24">
        <f>1671282-454253</f>
        <v>1217029</v>
      </c>
      <c r="AB96" s="17"/>
      <c r="AC96" s="24">
        <v>454253</v>
      </c>
      <c r="AD96" s="17"/>
      <c r="AE96" s="35">
        <f t="shared" si="16"/>
        <v>122342</v>
      </c>
      <c r="AF96" s="40"/>
      <c r="AG96" s="24">
        <v>-67471</v>
      </c>
      <c r="AH96" s="40"/>
      <c r="AI96" s="24">
        <v>143303</v>
      </c>
      <c r="AJ96" s="17"/>
      <c r="AK96" s="184">
        <v>0</v>
      </c>
      <c r="AL96" s="17"/>
      <c r="AM96" s="184">
        <v>0</v>
      </c>
      <c r="AN96" s="17"/>
      <c r="AO96" s="35">
        <f t="shared" si="17"/>
        <v>198174</v>
      </c>
      <c r="AP96" s="40"/>
      <c r="AQ96" s="17">
        <v>0</v>
      </c>
      <c r="AR96" s="17"/>
      <c r="AS96" s="17">
        <v>0</v>
      </c>
      <c r="AT96" s="17"/>
      <c r="AU96" s="35">
        <f t="shared" si="18"/>
        <v>-58248</v>
      </c>
      <c r="AV96" s="17"/>
      <c r="AW96" s="81" t="s">
        <v>83</v>
      </c>
      <c r="AX96" s="17"/>
      <c r="AY96" s="24">
        <v>936</v>
      </c>
      <c r="AZ96" s="17"/>
      <c r="BA96" s="35">
        <v>0</v>
      </c>
      <c r="BB96" s="17"/>
      <c r="BC96" s="35">
        <v>0</v>
      </c>
      <c r="BD96" s="17"/>
      <c r="BE96" s="24">
        <f>32760+678746+5740657</f>
        <v>6452163</v>
      </c>
      <c r="BF96" s="17"/>
      <c r="BG96" s="35">
        <f t="shared" si="20"/>
        <v>6453099</v>
      </c>
      <c r="BH96" s="79"/>
    </row>
    <row r="97" spans="1:60" ht="12.75" hidden="1">
      <c r="A97" s="77" t="s">
        <v>174</v>
      </c>
      <c r="B97" s="96"/>
      <c r="C97" s="35">
        <f t="shared" si="19"/>
        <v>0</v>
      </c>
      <c r="D97" s="35"/>
      <c r="E97" s="24">
        <v>0</v>
      </c>
      <c r="F97" s="35"/>
      <c r="G97" s="24">
        <v>0</v>
      </c>
      <c r="H97" s="35"/>
      <c r="I97" s="35">
        <f>M97-K97</f>
        <v>0</v>
      </c>
      <c r="J97" s="35"/>
      <c r="K97" s="24">
        <v>0</v>
      </c>
      <c r="L97" s="35"/>
      <c r="M97" s="24">
        <v>0</v>
      </c>
      <c r="N97" s="35"/>
      <c r="O97" s="24">
        <v>0</v>
      </c>
      <c r="P97" s="35"/>
      <c r="Q97" s="24">
        <v>0</v>
      </c>
      <c r="R97" s="35"/>
      <c r="S97" s="24">
        <v>0</v>
      </c>
      <c r="T97" s="35"/>
      <c r="U97" s="35">
        <f>SUM(O97:S97)</f>
        <v>0</v>
      </c>
      <c r="V97" s="96"/>
      <c r="W97" s="81" t="s">
        <v>174</v>
      </c>
      <c r="X97" s="96"/>
      <c r="Y97" s="24">
        <v>0</v>
      </c>
      <c r="Z97" s="17"/>
      <c r="AA97" s="24">
        <v>0</v>
      </c>
      <c r="AB97" s="17"/>
      <c r="AC97" s="24">
        <v>0</v>
      </c>
      <c r="AD97" s="17"/>
      <c r="AE97" s="35">
        <f>+Y97-AA97-AC97</f>
        <v>0</v>
      </c>
      <c r="AF97" s="40"/>
      <c r="AG97" s="24">
        <v>0</v>
      </c>
      <c r="AH97" s="40"/>
      <c r="AI97" s="24">
        <v>0</v>
      </c>
      <c r="AJ97" s="17"/>
      <c r="AK97" s="74">
        <v>0</v>
      </c>
      <c r="AL97" s="17"/>
      <c r="AM97" s="24">
        <v>0</v>
      </c>
      <c r="AN97" s="17"/>
      <c r="AO97" s="35">
        <f>+AE97+AG97+AI97-AK97+AM97</f>
        <v>0</v>
      </c>
      <c r="AP97" s="40"/>
      <c r="AQ97" s="17">
        <v>0</v>
      </c>
      <c r="AR97" s="17"/>
      <c r="AS97" s="17">
        <v>0</v>
      </c>
      <c r="AT97" s="17"/>
      <c r="AU97" s="35">
        <f>+C97-I97</f>
        <v>0</v>
      </c>
      <c r="AV97" s="96"/>
      <c r="AW97" s="81" t="s">
        <v>174</v>
      </c>
      <c r="AX97" s="96"/>
      <c r="AY97" s="24">
        <v>0</v>
      </c>
      <c r="AZ97" s="17"/>
      <c r="BA97" s="24">
        <v>0</v>
      </c>
      <c r="BB97" s="17"/>
      <c r="BC97" s="24">
        <v>0</v>
      </c>
      <c r="BD97" s="17"/>
      <c r="BE97" s="24">
        <v>0</v>
      </c>
      <c r="BF97" s="17"/>
      <c r="BG97" s="35">
        <f>SUM(AY97:BE97)</f>
        <v>0</v>
      </c>
      <c r="BH97" s="79"/>
    </row>
    <row r="98" spans="1:60" ht="12.75">
      <c r="A98" s="77"/>
      <c r="B98" s="69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1"/>
      <c r="X98" s="86"/>
      <c r="Y98" s="86"/>
      <c r="Z98" s="86"/>
      <c r="AA98" s="86"/>
      <c r="AB98" s="87"/>
      <c r="AC98" s="86"/>
      <c r="AD98" s="87"/>
      <c r="AE98" s="86"/>
      <c r="AF98" s="88"/>
      <c r="AG98" s="86"/>
      <c r="AH98" s="88"/>
      <c r="AI98" s="86"/>
      <c r="AJ98" s="88"/>
      <c r="AK98" s="86"/>
      <c r="AL98" s="88"/>
      <c r="AM98" s="86"/>
      <c r="AN98" s="83"/>
      <c r="AO98" s="86"/>
      <c r="AP98" s="83"/>
      <c r="AQ98" s="83"/>
      <c r="AR98" s="83"/>
      <c r="AS98" s="83"/>
      <c r="AT98" s="83"/>
      <c r="AU98" s="86"/>
      <c r="AV98" s="83"/>
      <c r="AW98" s="81"/>
      <c r="AX98" s="83"/>
      <c r="AY98" s="86"/>
      <c r="AZ98" s="83"/>
      <c r="BA98" s="86"/>
      <c r="BB98" s="83"/>
      <c r="BC98" s="86"/>
      <c r="BD98" s="83"/>
      <c r="BE98" s="86"/>
      <c r="BF98" s="83"/>
      <c r="BG98" s="86"/>
      <c r="BH98" s="79"/>
    </row>
    <row r="99" spans="1:60" ht="12.75">
      <c r="A99" s="77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77"/>
      <c r="X99" s="69"/>
      <c r="Y99" s="69"/>
      <c r="Z99" s="69"/>
      <c r="AA99" s="84"/>
      <c r="AB99" s="84"/>
      <c r="AC99" s="84"/>
      <c r="AD99" s="84"/>
      <c r="AE99" s="69"/>
      <c r="AF99" s="85"/>
      <c r="AG99" s="85"/>
      <c r="AH99" s="85"/>
      <c r="AI99" s="85"/>
      <c r="AJ99" s="85"/>
      <c r="AK99" s="85"/>
      <c r="AL99" s="85"/>
      <c r="AM99" s="79"/>
      <c r="AN99" s="79"/>
      <c r="AO99" s="69"/>
      <c r="AP99" s="79"/>
      <c r="AQ99" s="79"/>
      <c r="AR99" s="79"/>
      <c r="AS99" s="79"/>
      <c r="AT99" s="79"/>
      <c r="AU99" s="69"/>
      <c r="AV99" s="79"/>
      <c r="AW99" s="77"/>
      <c r="AX99" s="79"/>
      <c r="AY99" s="79"/>
      <c r="AZ99" s="79"/>
      <c r="BA99" s="79"/>
      <c r="BB99" s="79"/>
      <c r="BC99" s="79"/>
      <c r="BD99" s="79"/>
      <c r="BE99" s="79"/>
      <c r="BF99" s="79"/>
      <c r="BG99" s="69"/>
      <c r="BH99" s="79"/>
    </row>
    <row r="100" spans="1:60" ht="12.75">
      <c r="A100" s="77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7"/>
      <c r="X100" s="69"/>
      <c r="Y100" s="69"/>
      <c r="Z100" s="69"/>
      <c r="AA100" s="84"/>
      <c r="AB100" s="84"/>
      <c r="AC100" s="84"/>
      <c r="AD100" s="84"/>
      <c r="AE100" s="69"/>
      <c r="AF100" s="85"/>
      <c r="AG100" s="85"/>
      <c r="AH100" s="85"/>
      <c r="AI100" s="85"/>
      <c r="AJ100" s="85"/>
      <c r="AK100" s="85"/>
      <c r="AL100" s="85"/>
      <c r="AM100" s="79"/>
      <c r="AN100" s="79"/>
      <c r="AO100" s="69"/>
      <c r="AP100" s="79"/>
      <c r="AQ100" s="79"/>
      <c r="AR100" s="79"/>
      <c r="AS100" s="79"/>
      <c r="AT100" s="79"/>
      <c r="AU100" s="69"/>
      <c r="AV100" s="79"/>
      <c r="AW100" s="77"/>
      <c r="AX100" s="79"/>
      <c r="AY100" s="79"/>
      <c r="AZ100" s="79"/>
      <c r="BA100" s="79"/>
      <c r="BB100" s="79"/>
      <c r="BC100" s="79"/>
      <c r="BD100" s="79"/>
      <c r="BE100" s="79"/>
      <c r="BF100" s="79"/>
      <c r="BG100" s="69"/>
      <c r="BH100" s="79"/>
    </row>
    <row r="101" spans="1:60" ht="12.75">
      <c r="A101" s="77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77"/>
      <c r="X101" s="69"/>
      <c r="Y101" s="69"/>
      <c r="Z101" s="69"/>
      <c r="AA101" s="84"/>
      <c r="AB101" s="84"/>
      <c r="AC101" s="84"/>
      <c r="AD101" s="84"/>
      <c r="AE101" s="69"/>
      <c r="AF101" s="85"/>
      <c r="AG101" s="85"/>
      <c r="AH101" s="85"/>
      <c r="AI101" s="85"/>
      <c r="AJ101" s="85"/>
      <c r="AK101" s="85"/>
      <c r="AL101" s="85"/>
      <c r="AM101" s="79"/>
      <c r="AN101" s="79"/>
      <c r="AO101" s="69"/>
      <c r="AP101" s="79"/>
      <c r="AQ101" s="79"/>
      <c r="AR101" s="79"/>
      <c r="AS101" s="79"/>
      <c r="AT101" s="79"/>
      <c r="AU101" s="69"/>
      <c r="AV101" s="79"/>
      <c r="AW101" s="77"/>
      <c r="AX101" s="79"/>
      <c r="AY101" s="79"/>
      <c r="AZ101" s="79"/>
      <c r="BA101" s="79"/>
      <c r="BB101" s="79"/>
      <c r="BC101" s="79"/>
      <c r="BD101" s="79"/>
      <c r="BE101" s="79"/>
      <c r="BF101" s="79"/>
      <c r="BG101" s="69"/>
      <c r="BH101" s="79"/>
    </row>
    <row r="102" spans="1:60" ht="12.75">
      <c r="A102" s="77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84"/>
      <c r="AB102" s="84"/>
      <c r="AC102" s="84"/>
      <c r="AD102" s="84"/>
      <c r="AE102" s="69"/>
      <c r="AF102" s="85"/>
      <c r="AG102" s="85"/>
      <c r="AH102" s="85"/>
      <c r="AI102" s="85"/>
      <c r="AJ102" s="85"/>
      <c r="AK102" s="85"/>
      <c r="AL102" s="85"/>
      <c r="AM102" s="79"/>
      <c r="AN102" s="79"/>
      <c r="AO102" s="69"/>
      <c r="AP102" s="79"/>
      <c r="AQ102" s="79"/>
      <c r="AR102" s="79"/>
      <c r="AS102" s="79"/>
      <c r="AT102" s="79"/>
      <c r="AU102" s="69"/>
      <c r="AV102" s="79"/>
      <c r="AW102" s="69"/>
      <c r="AX102" s="79"/>
      <c r="AY102" s="79"/>
      <c r="AZ102" s="79"/>
      <c r="BA102" s="79"/>
      <c r="BB102" s="79"/>
      <c r="BC102" s="79"/>
      <c r="BD102" s="79"/>
      <c r="BE102" s="79"/>
      <c r="BF102" s="79"/>
      <c r="BG102" s="69"/>
      <c r="BH102" s="79"/>
    </row>
    <row r="103" spans="1:60" ht="12.75">
      <c r="A103" s="77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84"/>
      <c r="AB103" s="84"/>
      <c r="AC103" s="84"/>
      <c r="AD103" s="84"/>
      <c r="AE103" s="69"/>
      <c r="AF103" s="85"/>
      <c r="AG103" s="85"/>
      <c r="AH103" s="85"/>
      <c r="AI103" s="85"/>
      <c r="AJ103" s="85"/>
      <c r="AK103" s="85"/>
      <c r="AL103" s="85"/>
      <c r="AM103" s="79"/>
      <c r="AN103" s="79"/>
      <c r="AO103" s="69"/>
      <c r="AP103" s="79"/>
      <c r="AQ103" s="79"/>
      <c r="AR103" s="79"/>
      <c r="AS103" s="79"/>
      <c r="AT103" s="79"/>
      <c r="AU103" s="6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69"/>
      <c r="BH103" s="79"/>
    </row>
    <row r="104" spans="1:60" ht="12.75">
      <c r="A104" s="77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84"/>
      <c r="AB104" s="84"/>
      <c r="AC104" s="84"/>
      <c r="AD104" s="84"/>
      <c r="AE104" s="69"/>
      <c r="AF104" s="85"/>
      <c r="AG104" s="85"/>
      <c r="AH104" s="85"/>
      <c r="AI104" s="85"/>
      <c r="AJ104" s="85"/>
      <c r="AK104" s="85"/>
      <c r="AL104" s="85"/>
      <c r="AM104" s="79"/>
      <c r="AN104" s="79"/>
      <c r="AO104" s="69"/>
      <c r="AP104" s="79"/>
      <c r="AQ104" s="79"/>
      <c r="AR104" s="79"/>
      <c r="AS104" s="79"/>
      <c r="AT104" s="79"/>
      <c r="AU104" s="6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69"/>
      <c r="BH104" s="79"/>
    </row>
    <row r="105" spans="1:60" ht="12.75">
      <c r="A105" s="77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84"/>
      <c r="AB105" s="84"/>
      <c r="AC105" s="84"/>
      <c r="AD105" s="84"/>
      <c r="AE105" s="69"/>
      <c r="AF105" s="85"/>
      <c r="AG105" s="85"/>
      <c r="AH105" s="85"/>
      <c r="AI105" s="85"/>
      <c r="AJ105" s="85"/>
      <c r="AK105" s="85"/>
      <c r="AL105" s="85"/>
      <c r="AM105" s="79"/>
      <c r="AN105" s="79"/>
      <c r="AO105" s="69"/>
      <c r="AP105" s="79"/>
      <c r="AQ105" s="79"/>
      <c r="AR105" s="79"/>
      <c r="AS105" s="79"/>
      <c r="AT105" s="79"/>
      <c r="AU105" s="6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69"/>
      <c r="BH105" s="79"/>
    </row>
    <row r="106" spans="1:60" ht="12.75">
      <c r="A106" s="77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84"/>
      <c r="AB106" s="84"/>
      <c r="AC106" s="84"/>
      <c r="AD106" s="84"/>
      <c r="AE106" s="69"/>
      <c r="AF106" s="85"/>
      <c r="AG106" s="85"/>
      <c r="AH106" s="85"/>
      <c r="AI106" s="85"/>
      <c r="AJ106" s="85"/>
      <c r="AK106" s="85"/>
      <c r="AL106" s="85"/>
      <c r="AM106" s="79"/>
      <c r="AN106" s="79"/>
      <c r="AO106" s="69"/>
      <c r="AP106" s="79"/>
      <c r="AQ106" s="79"/>
      <c r="AR106" s="79"/>
      <c r="AS106" s="79"/>
      <c r="AT106" s="79"/>
      <c r="AU106" s="6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69"/>
      <c r="BH106" s="79"/>
    </row>
    <row r="107" spans="1:60" ht="12.75">
      <c r="A107" s="77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84"/>
      <c r="AB107" s="84"/>
      <c r="AC107" s="84"/>
      <c r="AD107" s="84"/>
      <c r="AE107" s="69"/>
      <c r="AF107" s="85"/>
      <c r="AG107" s="85"/>
      <c r="AH107" s="85"/>
      <c r="AI107" s="85"/>
      <c r="AJ107" s="85"/>
      <c r="AK107" s="85"/>
      <c r="AL107" s="85"/>
      <c r="AM107" s="79"/>
      <c r="AN107" s="79"/>
      <c r="AO107" s="69"/>
      <c r="AP107" s="79"/>
      <c r="AQ107" s="79"/>
      <c r="AR107" s="79"/>
      <c r="AS107" s="79"/>
      <c r="AT107" s="79"/>
      <c r="AU107" s="6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69"/>
      <c r="BH107" s="79"/>
    </row>
    <row r="108" spans="1:60" ht="12.75">
      <c r="A108" s="77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84"/>
      <c r="AB108" s="84"/>
      <c r="AC108" s="84"/>
      <c r="AD108" s="84"/>
      <c r="AE108" s="69"/>
      <c r="AF108" s="85"/>
      <c r="AG108" s="85"/>
      <c r="AH108" s="85"/>
      <c r="AI108" s="85"/>
      <c r="AJ108" s="85"/>
      <c r="AK108" s="85"/>
      <c r="AL108" s="85"/>
      <c r="AM108" s="79"/>
      <c r="AN108" s="79"/>
      <c r="AO108" s="69"/>
      <c r="AP108" s="79"/>
      <c r="AQ108" s="79"/>
      <c r="AR108" s="79"/>
      <c r="AS108" s="79"/>
      <c r="AT108" s="79"/>
      <c r="AU108" s="6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69"/>
      <c r="BH108" s="79"/>
    </row>
    <row r="109" spans="1:60" ht="12.75">
      <c r="A109" s="77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84"/>
      <c r="AB109" s="84"/>
      <c r="AC109" s="84"/>
      <c r="AD109" s="84"/>
      <c r="AE109" s="69"/>
      <c r="AF109" s="85"/>
      <c r="AG109" s="85"/>
      <c r="AH109" s="85"/>
      <c r="AI109" s="85"/>
      <c r="AJ109" s="85"/>
      <c r="AK109" s="85"/>
      <c r="AL109" s="85"/>
      <c r="AM109" s="79"/>
      <c r="AN109" s="79"/>
      <c r="AO109" s="69"/>
      <c r="AP109" s="79"/>
      <c r="AQ109" s="79"/>
      <c r="AR109" s="79"/>
      <c r="AS109" s="79"/>
      <c r="AT109" s="79"/>
      <c r="AU109" s="6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69"/>
      <c r="BH109" s="79"/>
    </row>
    <row r="110" spans="1:60" ht="12.75">
      <c r="A110" s="77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84"/>
      <c r="AB110" s="84"/>
      <c r="AC110" s="84"/>
      <c r="AD110" s="84"/>
      <c r="AE110" s="69"/>
      <c r="AF110" s="85"/>
      <c r="AG110" s="85"/>
      <c r="AH110" s="85"/>
      <c r="AI110" s="85"/>
      <c r="AJ110" s="85"/>
      <c r="AK110" s="85"/>
      <c r="AL110" s="85"/>
      <c r="AM110" s="79"/>
      <c r="AN110" s="79"/>
      <c r="AO110" s="69"/>
      <c r="AP110" s="79"/>
      <c r="AQ110" s="79"/>
      <c r="AR110" s="79"/>
      <c r="AS110" s="79"/>
      <c r="AT110" s="79"/>
      <c r="AU110" s="6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69"/>
      <c r="BH110" s="79"/>
    </row>
    <row r="111" spans="2:60" ht="12.7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84"/>
      <c r="AB111" s="84"/>
      <c r="AC111" s="84"/>
      <c r="AD111" s="84"/>
      <c r="AE111" s="69"/>
      <c r="AF111" s="85"/>
      <c r="AG111" s="85"/>
      <c r="AH111" s="85"/>
      <c r="AI111" s="85"/>
      <c r="AJ111" s="85"/>
      <c r="AK111" s="85"/>
      <c r="AL111" s="85"/>
      <c r="AM111" s="79"/>
      <c r="AN111" s="79"/>
      <c r="AO111" s="69"/>
      <c r="AP111" s="79"/>
      <c r="AQ111" s="79"/>
      <c r="AR111" s="79"/>
      <c r="AS111" s="79"/>
      <c r="AT111" s="79"/>
      <c r="AU111" s="6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69"/>
      <c r="BH111" s="79"/>
    </row>
  </sheetData>
  <sheetProtection/>
  <printOptions/>
  <pageMargins left="1" right="1" top="0.5" bottom="0.5" header="0" footer="0.25"/>
  <pageSetup firstPageNumber="52" useFirstPageNumber="1" horizontalDpi="600" verticalDpi="600" orientation="portrait" r:id="rId1"/>
  <headerFooter scaleWithDoc="0" alignWithMargins="0">
    <oddFooter>&amp;C&amp;"Times New Roman,Regular"&amp;11&amp;P</oddFooter>
  </headerFooter>
  <colBreaks count="2" manualBreakCount="2">
    <brk id="22" max="97" man="1"/>
    <brk id="48" max="9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X109"/>
  <sheetViews>
    <sheetView zoomScale="130" zoomScaleNormal="130" zoomScaleSheetLayoutView="75" zoomScalePageLayoutView="0" workbookViewId="0" topLeftCell="A1">
      <pane xSplit="1" ySplit="8" topLeftCell="B9" activePane="bottomRight" state="frozen"/>
      <selection pane="topLeft" activeCell="AX17" sqref="AX17"/>
      <selection pane="topRight" activeCell="AX17" sqref="AX17"/>
      <selection pane="bottomLeft" activeCell="AX17" sqref="AX17"/>
      <selection pane="bottomRight" activeCell="A5" sqref="A5"/>
    </sheetView>
  </sheetViews>
  <sheetFormatPr defaultColWidth="9.140625" defaultRowHeight="12" customHeight="1"/>
  <cols>
    <col min="1" max="1" width="15.7109375" style="124" customWidth="1"/>
    <col min="2" max="2" width="1.7109375" style="124" customWidth="1"/>
    <col min="3" max="3" width="11.7109375" style="124" customWidth="1"/>
    <col min="4" max="4" width="1.7109375" style="124" customWidth="1"/>
    <col min="5" max="5" width="11.7109375" style="124" customWidth="1"/>
    <col min="6" max="6" width="1.7109375" style="124" customWidth="1"/>
    <col min="7" max="7" width="11.7109375" style="124" customWidth="1"/>
    <col min="8" max="8" width="1.7109375" style="124" customWidth="1"/>
    <col min="9" max="9" width="11.7109375" style="124" customWidth="1"/>
    <col min="10" max="10" width="1.7109375" style="124" customWidth="1"/>
    <col min="11" max="11" width="11.7109375" style="124" customWidth="1"/>
    <col min="12" max="12" width="1.7109375" style="124" hidden="1" customWidth="1"/>
    <col min="13" max="13" width="12.7109375" style="124" customWidth="1"/>
    <col min="14" max="14" width="1.7109375" style="124" customWidth="1"/>
    <col min="15" max="15" width="12.7109375" style="124" customWidth="1"/>
    <col min="16" max="16" width="1.7109375" style="124" customWidth="1"/>
    <col min="17" max="17" width="12.7109375" style="124" customWidth="1"/>
    <col min="18" max="18" width="1.7109375" style="124" customWidth="1"/>
    <col min="19" max="19" width="11.8515625" style="124" customWidth="1"/>
    <col min="20" max="20" width="3.00390625" style="124" customWidth="1"/>
    <col min="21" max="21" width="12.28125" style="97" bestFit="1" customWidth="1"/>
    <col min="22" max="22" width="9.140625" style="97" customWidth="1"/>
    <col min="23" max="23" width="11.28125" style="97" bestFit="1" customWidth="1"/>
    <col min="24" max="24" width="10.7109375" style="97" bestFit="1" customWidth="1"/>
    <col min="25" max="16384" width="9.140625" style="97" customWidth="1"/>
  </cols>
  <sheetData>
    <row r="1" spans="1:20" s="66" customFormat="1" ht="12" customHeight="1">
      <c r="A1" s="63" t="s">
        <v>249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42"/>
      <c r="S1" s="42"/>
      <c r="T1" s="121"/>
    </row>
    <row r="2" spans="1:20" s="66" customFormat="1" ht="12" customHeight="1">
      <c r="A2" s="63" t="s">
        <v>251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42"/>
      <c r="S2" s="42"/>
      <c r="T2" s="121"/>
    </row>
    <row r="3" spans="1:20" s="66" customFormat="1" ht="12" customHeight="1">
      <c r="A3" s="49" t="s">
        <v>247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2"/>
      <c r="S3" s="42"/>
      <c r="T3" s="121"/>
    </row>
    <row r="4" spans="1:20" s="66" customFormat="1" ht="12" customHeight="1">
      <c r="A4" s="57" t="s">
        <v>183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2"/>
      <c r="S4" s="42"/>
      <c r="T4" s="121"/>
    </row>
    <row r="5" spans="1:19" ht="12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32"/>
      <c r="S5" s="32"/>
    </row>
    <row r="6" spans="1:18" ht="12" customHeight="1">
      <c r="A6" s="63"/>
      <c r="B6" s="19"/>
      <c r="C6" s="19" t="s">
        <v>103</v>
      </c>
      <c r="D6" s="19"/>
      <c r="E6" s="19" t="s">
        <v>2</v>
      </c>
      <c r="F6" s="19"/>
      <c r="G6" s="19"/>
      <c r="H6" s="19"/>
      <c r="I6" s="19"/>
      <c r="J6" s="19"/>
      <c r="K6" s="19"/>
      <c r="L6" s="19"/>
      <c r="M6" s="19"/>
      <c r="N6" s="19"/>
      <c r="O6" s="19" t="s">
        <v>123</v>
      </c>
      <c r="P6" s="19"/>
      <c r="Q6" s="19"/>
      <c r="R6" s="32"/>
    </row>
    <row r="7" spans="1:21" ht="12" customHeight="1">
      <c r="A7" s="19"/>
      <c r="B7" s="19"/>
      <c r="C7" s="19" t="s">
        <v>107</v>
      </c>
      <c r="D7" s="19"/>
      <c r="E7" s="19" t="s">
        <v>126</v>
      </c>
      <c r="F7" s="19"/>
      <c r="G7" s="19" t="s">
        <v>125</v>
      </c>
      <c r="H7" s="19"/>
      <c r="I7" s="19" t="s">
        <v>114</v>
      </c>
      <c r="J7" s="19"/>
      <c r="K7" s="19" t="s">
        <v>87</v>
      </c>
      <c r="L7" s="19"/>
      <c r="M7" s="19" t="s">
        <v>124</v>
      </c>
      <c r="N7" s="19"/>
      <c r="O7" s="19" t="s">
        <v>105</v>
      </c>
      <c r="P7" s="19"/>
      <c r="Q7" s="19" t="s">
        <v>4</v>
      </c>
      <c r="R7" s="32"/>
      <c r="S7" s="32" t="s">
        <v>219</v>
      </c>
      <c r="U7" s="97" t="s">
        <v>217</v>
      </c>
    </row>
    <row r="8" spans="1:21" ht="12" customHeight="1">
      <c r="A8" s="22" t="s">
        <v>5</v>
      </c>
      <c r="B8" s="19"/>
      <c r="C8" s="22" t="s">
        <v>113</v>
      </c>
      <c r="D8" s="19"/>
      <c r="E8" s="22" t="s">
        <v>113</v>
      </c>
      <c r="F8" s="19"/>
      <c r="G8" s="22" t="s">
        <v>129</v>
      </c>
      <c r="H8" s="19"/>
      <c r="I8" s="22" t="s">
        <v>130</v>
      </c>
      <c r="J8" s="19"/>
      <c r="K8" s="22" t="s">
        <v>127</v>
      </c>
      <c r="L8" s="19"/>
      <c r="M8" s="22" t="s">
        <v>128</v>
      </c>
      <c r="N8" s="19"/>
      <c r="O8" s="22" t="s">
        <v>121</v>
      </c>
      <c r="P8" s="19"/>
      <c r="Q8" s="22" t="s">
        <v>121</v>
      </c>
      <c r="R8" s="23"/>
      <c r="S8" s="123" t="s">
        <v>220</v>
      </c>
      <c r="U8" s="125" t="s">
        <v>221</v>
      </c>
    </row>
    <row r="9" spans="1:2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3"/>
      <c r="S9" s="23"/>
      <c r="U9" s="98"/>
    </row>
    <row r="10" spans="1:21" ht="12" customHeight="1" hidden="1">
      <c r="A10" s="89" t="s">
        <v>235</v>
      </c>
      <c r="B10" s="19"/>
      <c r="C10" s="47">
        <v>0</v>
      </c>
      <c r="D10" s="47"/>
      <c r="E10" s="47">
        <v>260054</v>
      </c>
      <c r="F10" s="47"/>
      <c r="G10" s="47">
        <v>0</v>
      </c>
      <c r="H10" s="47"/>
      <c r="I10" s="47">
        <f>983199</f>
        <v>983199</v>
      </c>
      <c r="J10" s="47"/>
      <c r="K10" s="47">
        <v>0</v>
      </c>
      <c r="L10" s="47"/>
      <c r="M10" s="47">
        <v>0</v>
      </c>
      <c r="N10" s="47"/>
      <c r="O10" s="47">
        <f>45000</f>
        <v>45000</v>
      </c>
      <c r="P10" s="47"/>
      <c r="Q10" s="47">
        <f>SUM(C10:O10)</f>
        <v>1288253</v>
      </c>
      <c r="R10" s="37"/>
      <c r="S10" s="47">
        <v>2975239</v>
      </c>
      <c r="U10" s="96">
        <f>+Q10-'St of Net Assets - GA'!M10-'LT _Lia - GA'!S10</f>
        <v>-1686986</v>
      </c>
    </row>
    <row r="11" spans="1:23" ht="12" customHeight="1">
      <c r="A11" s="32" t="s">
        <v>13</v>
      </c>
      <c r="B11" s="32"/>
      <c r="C11" s="47">
        <v>10600999</v>
      </c>
      <c r="D11" s="47"/>
      <c r="E11" s="47">
        <v>3688187</v>
      </c>
      <c r="F11" s="47"/>
      <c r="G11" s="47">
        <v>459334</v>
      </c>
      <c r="H11" s="47"/>
      <c r="I11" s="47">
        <f>10600468-3126482-459334</f>
        <v>7014652</v>
      </c>
      <c r="J11" s="47"/>
      <c r="K11" s="47">
        <v>0</v>
      </c>
      <c r="L11" s="47"/>
      <c r="M11" s="47">
        <v>0</v>
      </c>
      <c r="N11" s="47"/>
      <c r="O11" s="47">
        <v>3126482</v>
      </c>
      <c r="P11" s="47"/>
      <c r="Q11" s="47">
        <f>SUM(C11:O11)</f>
        <v>24889654</v>
      </c>
      <c r="R11" s="37"/>
      <c r="S11" s="47">
        <v>3843042</v>
      </c>
      <c r="U11" s="96">
        <f>+Q11-'St of Net Assets - GA'!M11-'LT _Lia - GA'!S11</f>
        <v>0</v>
      </c>
      <c r="W11" s="96"/>
    </row>
    <row r="12" spans="1:21" ht="12" customHeight="1">
      <c r="A12" s="32" t="s">
        <v>14</v>
      </c>
      <c r="B12" s="32"/>
      <c r="C12" s="30">
        <f>2265000+330000</f>
        <v>2595000</v>
      </c>
      <c r="D12" s="30"/>
      <c r="E12" s="30">
        <v>0</v>
      </c>
      <c r="F12" s="30"/>
      <c r="G12" s="30">
        <v>0</v>
      </c>
      <c r="H12" s="30"/>
      <c r="I12" s="30">
        <v>0</v>
      </c>
      <c r="J12" s="30"/>
      <c r="K12" s="30">
        <f>80444+39453</f>
        <v>119897</v>
      </c>
      <c r="L12" s="30"/>
      <c r="M12" s="30">
        <f>1099903+343922</f>
        <v>1443825</v>
      </c>
      <c r="N12" s="30"/>
      <c r="O12" s="30">
        <v>0</v>
      </c>
      <c r="P12" s="30"/>
      <c r="Q12" s="30">
        <f aca="true" t="shared" si="0" ref="Q12:Q28">SUM(C12:O12)</f>
        <v>4158722</v>
      </c>
      <c r="R12" s="37"/>
      <c r="S12" s="30">
        <v>713375</v>
      </c>
      <c r="U12" s="96">
        <f>+Q12-'St of Net Assets - GA'!M12-'LT _Lia - GA'!S12</f>
        <v>0</v>
      </c>
    </row>
    <row r="13" spans="1:23" ht="12" customHeight="1">
      <c r="A13" s="32" t="s">
        <v>15</v>
      </c>
      <c r="B13" s="32"/>
      <c r="C13" s="30">
        <v>6059400</v>
      </c>
      <c r="D13" s="30"/>
      <c r="E13" s="30">
        <v>0</v>
      </c>
      <c r="F13" s="30"/>
      <c r="G13" s="30">
        <v>0</v>
      </c>
      <c r="H13" s="30"/>
      <c r="I13" s="30">
        <v>188929</v>
      </c>
      <c r="J13" s="30"/>
      <c r="K13" s="30">
        <v>289079</v>
      </c>
      <c r="L13" s="30"/>
      <c r="M13" s="30">
        <v>2793131</v>
      </c>
      <c r="N13" s="30"/>
      <c r="O13" s="30">
        <f>78679+352780</f>
        <v>431459</v>
      </c>
      <c r="P13" s="30"/>
      <c r="Q13" s="30">
        <f t="shared" si="0"/>
        <v>9761998</v>
      </c>
      <c r="R13" s="37"/>
      <c r="S13" s="30">
        <v>1375129</v>
      </c>
      <c r="U13" s="96">
        <f>+Q13-'St of Net Assets - GA'!M13-'LT _Lia - GA'!S13</f>
        <v>0</v>
      </c>
      <c r="W13" s="96"/>
    </row>
    <row r="14" spans="1:23" ht="12" customHeight="1" hidden="1">
      <c r="A14" s="32" t="s">
        <v>16</v>
      </c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>
        <f t="shared" si="0"/>
        <v>0</v>
      </c>
      <c r="R14" s="37"/>
      <c r="S14" s="30"/>
      <c r="U14" s="96">
        <f>+Q14-'St of Net Assets - GA'!M14-'LT _Lia - GA'!S14</f>
        <v>0</v>
      </c>
      <c r="W14" s="104"/>
    </row>
    <row r="15" spans="1:23" ht="12" customHeight="1">
      <c r="A15" s="32" t="s">
        <v>17</v>
      </c>
      <c r="B15" s="32"/>
      <c r="C15" s="30">
        <v>240000</v>
      </c>
      <c r="D15" s="30"/>
      <c r="E15" s="30">
        <v>230000</v>
      </c>
      <c r="F15" s="30"/>
      <c r="G15" s="30">
        <v>839347</v>
      </c>
      <c r="H15" s="30"/>
      <c r="I15" s="30">
        <v>61373</v>
      </c>
      <c r="J15" s="30"/>
      <c r="K15" s="30">
        <v>0</v>
      </c>
      <c r="L15" s="30"/>
      <c r="M15" s="30">
        <v>0</v>
      </c>
      <c r="N15" s="30"/>
      <c r="O15" s="30">
        <v>1863678</v>
      </c>
      <c r="P15" s="30"/>
      <c r="Q15" s="30">
        <f t="shared" si="0"/>
        <v>3234398</v>
      </c>
      <c r="R15" s="37"/>
      <c r="S15" s="30">
        <v>1057905</v>
      </c>
      <c r="U15" s="96">
        <f>+Q15-'St of Net Assets - GA'!M15-'LT _Lia - GA'!S15</f>
        <v>0</v>
      </c>
      <c r="W15" s="96"/>
    </row>
    <row r="16" spans="1:21" ht="12" customHeight="1">
      <c r="A16" s="32" t="s">
        <v>18</v>
      </c>
      <c r="B16" s="32"/>
      <c r="C16" s="30">
        <f>7172804+595000</f>
        <v>7767804</v>
      </c>
      <c r="D16" s="30"/>
      <c r="E16" s="30">
        <v>0</v>
      </c>
      <c r="F16" s="30"/>
      <c r="G16" s="30">
        <v>0</v>
      </c>
      <c r="H16" s="30"/>
      <c r="I16" s="142">
        <f>135604+135604</f>
        <v>271208</v>
      </c>
      <c r="J16" s="30"/>
      <c r="K16" s="30">
        <f>160699+46035</f>
        <v>206734</v>
      </c>
      <c r="L16" s="30"/>
      <c r="M16" s="30">
        <f>3311446+1157625</f>
        <v>4469071</v>
      </c>
      <c r="N16" s="30"/>
      <c r="O16" s="30">
        <v>0</v>
      </c>
      <c r="P16" s="30"/>
      <c r="Q16" s="30">
        <f t="shared" si="0"/>
        <v>12714817</v>
      </c>
      <c r="R16" s="37"/>
      <c r="S16" s="30">
        <v>1934264</v>
      </c>
      <c r="U16" s="96">
        <f>+Q16-'St of Net Assets - GA'!M16-'LT _Lia - GA'!S16</f>
        <v>0</v>
      </c>
    </row>
    <row r="17" spans="1:21" s="124" customFormat="1" ht="12" customHeight="1" hidden="1">
      <c r="A17" s="32" t="s">
        <v>238</v>
      </c>
      <c r="B17" s="32"/>
      <c r="C17" s="30"/>
      <c r="D17" s="30"/>
      <c r="E17" s="30"/>
      <c r="F17" s="30"/>
      <c r="G17" s="30"/>
      <c r="H17" s="30"/>
      <c r="I17" s="142"/>
      <c r="J17" s="30"/>
      <c r="K17" s="30"/>
      <c r="L17" s="30"/>
      <c r="M17" s="30"/>
      <c r="N17" s="30"/>
      <c r="O17" s="30"/>
      <c r="P17" s="30"/>
      <c r="Q17" s="30">
        <f t="shared" si="0"/>
        <v>0</v>
      </c>
      <c r="R17" s="37"/>
      <c r="S17" s="30"/>
      <c r="U17" s="96">
        <f>+Q17-'St of Net Assets - GA'!M17-'LT _Lia - GA'!S17</f>
        <v>0</v>
      </c>
    </row>
    <row r="18" spans="1:21" ht="12" customHeight="1">
      <c r="A18" s="32" t="s">
        <v>19</v>
      </c>
      <c r="B18" s="32"/>
      <c r="C18" s="30">
        <v>68653423</v>
      </c>
      <c r="D18" s="30"/>
      <c r="E18" s="30">
        <v>10167413</v>
      </c>
      <c r="F18" s="30"/>
      <c r="G18" s="30">
        <v>0</v>
      </c>
      <c r="H18" s="30"/>
      <c r="I18" s="30">
        <v>2553276</v>
      </c>
      <c r="J18" s="30"/>
      <c r="K18" s="30">
        <v>439631</v>
      </c>
      <c r="L18" s="30"/>
      <c r="M18" s="30">
        <v>7819333</v>
      </c>
      <c r="N18" s="30"/>
      <c r="O18" s="30">
        <f>11290746+3035313</f>
        <v>14326059</v>
      </c>
      <c r="P18" s="30"/>
      <c r="Q18" s="30">
        <f t="shared" si="0"/>
        <v>103959135</v>
      </c>
      <c r="R18" s="37"/>
      <c r="S18" s="30">
        <v>11211073</v>
      </c>
      <c r="U18" s="96">
        <f>+Q18-'St of Net Assets - GA'!M18-'LT _Lia - GA'!S18</f>
        <v>0</v>
      </c>
    </row>
    <row r="19" spans="1:24" ht="12" customHeight="1">
      <c r="A19" s="32" t="s">
        <v>20</v>
      </c>
      <c r="B19" s="32"/>
      <c r="C19" s="30">
        <v>396000</v>
      </c>
      <c r="D19" s="30"/>
      <c r="E19" s="30">
        <v>0</v>
      </c>
      <c r="F19" s="30"/>
      <c r="G19" s="30">
        <v>0</v>
      </c>
      <c r="H19" s="30"/>
      <c r="I19" s="30">
        <v>51865</v>
      </c>
      <c r="J19" s="30"/>
      <c r="K19" s="30">
        <v>56348</v>
      </c>
      <c r="L19" s="30"/>
      <c r="M19" s="30">
        <v>966438</v>
      </c>
      <c r="N19" s="30"/>
      <c r="O19" s="30">
        <v>20000</v>
      </c>
      <c r="P19" s="30"/>
      <c r="Q19" s="30">
        <f>SUM(C19:O19)</f>
        <v>1490651</v>
      </c>
      <c r="R19" s="37"/>
      <c r="S19" s="30">
        <v>47456</v>
      </c>
      <c r="U19" s="96">
        <f>+Q19-'St of Net Assets - GA'!M19-'LT _Lia - GA'!S19</f>
        <v>0</v>
      </c>
      <c r="X19" s="118"/>
    </row>
    <row r="20" spans="1:21" ht="12" customHeight="1" hidden="1">
      <c r="A20" s="23" t="s">
        <v>172</v>
      </c>
      <c r="B20" s="2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>
        <f t="shared" si="0"/>
        <v>0</v>
      </c>
      <c r="R20" s="37"/>
      <c r="S20" s="30"/>
      <c r="U20" s="96">
        <f>+Q20-'St of Net Assets - GA'!M20-'LT _Lia - GA'!S20</f>
        <v>0</v>
      </c>
    </row>
    <row r="21" spans="1:21" ht="12" customHeight="1">
      <c r="A21" s="32" t="s">
        <v>21</v>
      </c>
      <c r="B21" s="32"/>
      <c r="C21" s="30">
        <v>14435000</v>
      </c>
      <c r="D21" s="30"/>
      <c r="E21" s="30">
        <v>0</v>
      </c>
      <c r="F21" s="30"/>
      <c r="G21" s="30">
        <v>0</v>
      </c>
      <c r="H21" s="30"/>
      <c r="I21" s="30">
        <v>0</v>
      </c>
      <c r="J21" s="30"/>
      <c r="K21" s="30">
        <v>0</v>
      </c>
      <c r="L21" s="30"/>
      <c r="M21" s="30">
        <v>4129651</v>
      </c>
      <c r="N21" s="30"/>
      <c r="O21" s="30">
        <f>206145-108716</f>
        <v>97429</v>
      </c>
      <c r="P21" s="30"/>
      <c r="Q21" s="30">
        <f t="shared" si="0"/>
        <v>18662080</v>
      </c>
      <c r="R21" s="37"/>
      <c r="S21" s="30">
        <v>1763432</v>
      </c>
      <c r="U21" s="96">
        <f>+Q21-'St of Net Assets - GA'!M21-'LT _Lia - GA'!S21</f>
        <v>0</v>
      </c>
    </row>
    <row r="22" spans="1:21" ht="12" customHeight="1">
      <c r="A22" s="32" t="s">
        <v>180</v>
      </c>
      <c r="B22" s="32"/>
      <c r="C22" s="30">
        <v>1465000</v>
      </c>
      <c r="D22" s="30"/>
      <c r="E22" s="30">
        <v>9792000</v>
      </c>
      <c r="F22" s="30"/>
      <c r="G22" s="30">
        <v>0</v>
      </c>
      <c r="H22" s="30"/>
      <c r="I22" s="30">
        <v>0</v>
      </c>
      <c r="J22" s="30"/>
      <c r="K22" s="30">
        <v>0</v>
      </c>
      <c r="L22" s="30"/>
      <c r="M22" s="30">
        <v>5151505</v>
      </c>
      <c r="N22" s="30"/>
      <c r="O22" s="30">
        <v>1107360</v>
      </c>
      <c r="P22" s="30"/>
      <c r="Q22" s="30">
        <f t="shared" si="0"/>
        <v>17515865</v>
      </c>
      <c r="R22" s="37"/>
      <c r="S22" s="30">
        <v>3758577</v>
      </c>
      <c r="U22" s="96">
        <f>+Q22-'St of Net Assets - GA'!M22-'LT _Lia - GA'!S22</f>
        <v>0</v>
      </c>
    </row>
    <row r="23" spans="1:21" ht="12" customHeight="1">
      <c r="A23" s="32" t="s">
        <v>22</v>
      </c>
      <c r="B23" s="32"/>
      <c r="C23" s="30">
        <f>10451670+66159-83507</f>
        <v>10434322</v>
      </c>
      <c r="D23" s="30"/>
      <c r="E23" s="30">
        <v>36607</v>
      </c>
      <c r="F23" s="30"/>
      <c r="G23" s="30">
        <v>18907</v>
      </c>
      <c r="H23" s="30"/>
      <c r="I23" s="30">
        <v>170000</v>
      </c>
      <c r="J23" s="30"/>
      <c r="K23" s="30">
        <v>84048</v>
      </c>
      <c r="L23" s="30"/>
      <c r="M23" s="30">
        <v>1217659</v>
      </c>
      <c r="N23" s="30"/>
      <c r="O23" s="30">
        <v>124285</v>
      </c>
      <c r="P23" s="30"/>
      <c r="Q23" s="30">
        <f t="shared" si="0"/>
        <v>12085828</v>
      </c>
      <c r="R23" s="37"/>
      <c r="S23" s="30">
        <v>1271267</v>
      </c>
      <c r="U23" s="96">
        <f>+Q23-'St of Net Assets - GA'!M23-'LT _Lia - GA'!S23</f>
        <v>0</v>
      </c>
    </row>
    <row r="24" spans="1:21" ht="12" customHeight="1" hidden="1">
      <c r="A24" s="32" t="s">
        <v>23</v>
      </c>
      <c r="B24" s="32"/>
      <c r="C24" s="30">
        <v>16463757</v>
      </c>
      <c r="D24" s="30"/>
      <c r="E24" s="30"/>
      <c r="F24" s="30"/>
      <c r="G24" s="30">
        <v>8251000</v>
      </c>
      <c r="H24" s="30"/>
      <c r="I24" s="30">
        <v>628113</v>
      </c>
      <c r="J24" s="30"/>
      <c r="K24" s="30">
        <v>266292</v>
      </c>
      <c r="L24" s="30"/>
      <c r="M24" s="30"/>
      <c r="N24" s="30"/>
      <c r="O24" s="30"/>
      <c r="P24" s="30"/>
      <c r="Q24" s="30">
        <f t="shared" si="0"/>
        <v>25609162</v>
      </c>
      <c r="R24" s="37"/>
      <c r="S24" s="30">
        <v>1106421</v>
      </c>
      <c r="U24" s="96">
        <f>+Q24-'St of Net Assets - GA'!M24-'LT _Lia - GA'!S24</f>
        <v>24502741</v>
      </c>
    </row>
    <row r="25" spans="1:21" ht="12" customHeight="1">
      <c r="A25" s="32" t="s">
        <v>24</v>
      </c>
      <c r="B25" s="32"/>
      <c r="C25" s="30">
        <f>3020000+9275-21999</f>
        <v>3007276</v>
      </c>
      <c r="D25" s="30"/>
      <c r="E25" s="30">
        <v>0</v>
      </c>
      <c r="F25" s="30"/>
      <c r="G25" s="30">
        <v>190000</v>
      </c>
      <c r="H25" s="30"/>
      <c r="I25" s="30">
        <v>527419</v>
      </c>
      <c r="J25" s="30"/>
      <c r="K25" s="30">
        <v>85494</v>
      </c>
      <c r="L25" s="30"/>
      <c r="M25" s="30">
        <v>1130134</v>
      </c>
      <c r="N25" s="30"/>
      <c r="O25" s="30">
        <v>487940</v>
      </c>
      <c r="P25" s="30"/>
      <c r="Q25" s="30">
        <f t="shared" si="0"/>
        <v>5428263</v>
      </c>
      <c r="R25" s="37"/>
      <c r="S25" s="30">
        <v>1184719</v>
      </c>
      <c r="U25" s="96">
        <f>+Q25-'St of Net Assets - GA'!M25-'LT _Lia - GA'!S25</f>
        <v>0</v>
      </c>
    </row>
    <row r="26" spans="1:21" ht="12" customHeight="1">
      <c r="A26" s="32" t="s">
        <v>241</v>
      </c>
      <c r="B26" s="32"/>
      <c r="C26" s="30">
        <v>12805352</v>
      </c>
      <c r="D26" s="30"/>
      <c r="E26" s="30">
        <v>0</v>
      </c>
      <c r="F26" s="30"/>
      <c r="G26" s="30">
        <v>0</v>
      </c>
      <c r="H26" s="30"/>
      <c r="I26" s="30">
        <v>0</v>
      </c>
      <c r="J26" s="30"/>
      <c r="K26" s="30">
        <v>0</v>
      </c>
      <c r="L26" s="30"/>
      <c r="M26" s="30">
        <v>1080571</v>
      </c>
      <c r="N26" s="30"/>
      <c r="O26" s="30">
        <v>0</v>
      </c>
      <c r="P26" s="30"/>
      <c r="Q26" s="30">
        <f t="shared" si="0"/>
        <v>13885923</v>
      </c>
      <c r="R26" s="37"/>
      <c r="S26" s="30">
        <v>633697</v>
      </c>
      <c r="U26" s="96">
        <f>+Q26-'St of Net Assets - GA'!M26-'LT _Lia - GA'!S26</f>
        <v>0</v>
      </c>
    </row>
    <row r="27" spans="1:21" ht="12" customHeight="1" hidden="1">
      <c r="A27" s="32" t="s">
        <v>25</v>
      </c>
      <c r="B27" s="3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>
        <f t="shared" si="0"/>
        <v>0</v>
      </c>
      <c r="R27" s="37"/>
      <c r="S27" s="30"/>
      <c r="U27" s="96">
        <f>+Q27-'St of Net Assets - GA'!M27-'LT _Lia - GA'!S27</f>
        <v>0</v>
      </c>
    </row>
    <row r="28" spans="1:21" s="173" customFormat="1" ht="12" customHeight="1" hidden="1">
      <c r="A28" s="168" t="s">
        <v>26</v>
      </c>
      <c r="B28" s="168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>
        <f t="shared" si="0"/>
        <v>0</v>
      </c>
      <c r="R28" s="171"/>
      <c r="S28" s="170"/>
      <c r="T28" s="172"/>
      <c r="U28" s="165" t="e">
        <f>+Q28-'St of Net Assets - GA'!#REF!-'LT _Lia - GA'!S28</f>
        <v>#REF!</v>
      </c>
    </row>
    <row r="29" spans="1:21" ht="12" customHeight="1">
      <c r="A29" s="32" t="s">
        <v>27</v>
      </c>
      <c r="B29" s="32"/>
      <c r="C29" s="30">
        <f>3945000+30707-46002</f>
        <v>3929705</v>
      </c>
      <c r="D29" s="30"/>
      <c r="E29" s="30">
        <v>870000</v>
      </c>
      <c r="F29" s="30"/>
      <c r="G29" s="30">
        <v>344300</v>
      </c>
      <c r="H29" s="30"/>
      <c r="I29" s="30">
        <f>187220+2802503</f>
        <v>2989723</v>
      </c>
      <c r="J29" s="30"/>
      <c r="K29" s="30">
        <v>138709</v>
      </c>
      <c r="L29" s="30"/>
      <c r="M29" s="30">
        <v>996103</v>
      </c>
      <c r="N29" s="30"/>
      <c r="O29" s="30">
        <v>0</v>
      </c>
      <c r="P29" s="30"/>
      <c r="Q29" s="30">
        <f aca="true" t="shared" si="1" ref="Q29:Q93">SUM(C29:O29)</f>
        <v>9268540</v>
      </c>
      <c r="R29" s="37"/>
      <c r="S29" s="30">
        <v>1341000</v>
      </c>
      <c r="U29" s="96">
        <f>+Q29-'St of Net Assets - GA'!M29-'LT _Lia - GA'!S29</f>
        <v>0</v>
      </c>
    </row>
    <row r="30" spans="1:21" ht="12" customHeight="1">
      <c r="A30" s="32" t="s">
        <v>28</v>
      </c>
      <c r="B30" s="32"/>
      <c r="C30" s="30">
        <v>35475528</v>
      </c>
      <c r="D30" s="30"/>
      <c r="E30" s="30">
        <v>4778068</v>
      </c>
      <c r="F30" s="30"/>
      <c r="G30" s="30">
        <v>0</v>
      </c>
      <c r="H30" s="30"/>
      <c r="I30" s="30">
        <v>0</v>
      </c>
      <c r="J30" s="30"/>
      <c r="K30" s="30">
        <v>0</v>
      </c>
      <c r="L30" s="30"/>
      <c r="M30" s="30">
        <v>4174913</v>
      </c>
      <c r="N30" s="30"/>
      <c r="O30" s="30">
        <v>0</v>
      </c>
      <c r="P30" s="30"/>
      <c r="Q30" s="30">
        <f t="shared" si="1"/>
        <v>44428509</v>
      </c>
      <c r="R30" s="37"/>
      <c r="S30" s="30">
        <v>4594950</v>
      </c>
      <c r="U30" s="96">
        <f>+Q30-'St of Net Assets - GA'!M30-'LT _Lia - GA'!S30</f>
        <v>0</v>
      </c>
    </row>
    <row r="31" spans="1:21" ht="12" customHeight="1">
      <c r="A31" s="32" t="s">
        <v>29</v>
      </c>
      <c r="B31" s="32"/>
      <c r="C31" s="30">
        <v>16158738</v>
      </c>
      <c r="D31" s="30"/>
      <c r="E31" s="30">
        <v>439933</v>
      </c>
      <c r="F31" s="30"/>
      <c r="G31" s="30">
        <v>0</v>
      </c>
      <c r="H31" s="30"/>
      <c r="I31" s="30">
        <v>0</v>
      </c>
      <c r="J31" s="30"/>
      <c r="K31" s="30">
        <v>15760</v>
      </c>
      <c r="L31" s="30"/>
      <c r="M31" s="30">
        <v>2505083</v>
      </c>
      <c r="N31" s="30"/>
      <c r="O31" s="30">
        <v>0</v>
      </c>
      <c r="P31" s="30"/>
      <c r="Q31" s="30">
        <f t="shared" si="1"/>
        <v>19119514</v>
      </c>
      <c r="R31" s="37"/>
      <c r="S31" s="30">
        <v>2324157</v>
      </c>
      <c r="U31" s="96">
        <f>+Q31-'St of Net Assets - GA'!M31-'LT _Lia - GA'!S31</f>
        <v>0</v>
      </c>
    </row>
    <row r="32" spans="1:21" ht="12" customHeight="1">
      <c r="A32" s="32" t="s">
        <v>30</v>
      </c>
      <c r="B32" s="32"/>
      <c r="C32" s="30">
        <v>14059515</v>
      </c>
      <c r="D32" s="30"/>
      <c r="E32" s="30">
        <v>1240967</v>
      </c>
      <c r="F32" s="30"/>
      <c r="G32" s="30">
        <v>0</v>
      </c>
      <c r="H32" s="30"/>
      <c r="I32" s="30">
        <v>665746</v>
      </c>
      <c r="J32" s="30"/>
      <c r="K32" s="30">
        <v>785616</v>
      </c>
      <c r="L32" s="30"/>
      <c r="M32" s="30">
        <v>3319261</v>
      </c>
      <c r="N32" s="30"/>
      <c r="O32" s="30">
        <v>4639</v>
      </c>
      <c r="P32" s="30"/>
      <c r="Q32" s="30">
        <f t="shared" si="1"/>
        <v>20075744</v>
      </c>
      <c r="R32" s="37"/>
      <c r="S32" s="30">
        <v>3285337</v>
      </c>
      <c r="U32" s="96">
        <f>+Q32-'St of Net Assets - GA'!M32-'LT _Lia - GA'!S32</f>
        <v>0</v>
      </c>
    </row>
    <row r="33" spans="1:21" ht="12" customHeight="1" hidden="1">
      <c r="A33" s="32" t="s">
        <v>237</v>
      </c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>
        <f t="shared" si="1"/>
        <v>0</v>
      </c>
      <c r="R33" s="37"/>
      <c r="S33" s="30"/>
      <c r="U33" s="96">
        <f>+Q33-'St of Net Assets - GA'!M33-'LT _Lia - GA'!S33</f>
        <v>0</v>
      </c>
    </row>
    <row r="34" spans="1:21" ht="12" customHeight="1">
      <c r="A34" s="32" t="s">
        <v>32</v>
      </c>
      <c r="B34" s="32"/>
      <c r="C34" s="30">
        <v>276862000</v>
      </c>
      <c r="D34" s="30"/>
      <c r="E34" s="30">
        <v>38195000</v>
      </c>
      <c r="F34" s="30"/>
      <c r="G34" s="30">
        <v>0</v>
      </c>
      <c r="H34" s="30"/>
      <c r="I34" s="30">
        <v>7368000</v>
      </c>
      <c r="J34" s="30"/>
      <c r="K34" s="30">
        <v>23179000</v>
      </c>
      <c r="L34" s="30"/>
      <c r="M34" s="30">
        <v>41784000</v>
      </c>
      <c r="N34" s="30"/>
      <c r="O34" s="30">
        <v>6300000</v>
      </c>
      <c r="P34" s="30"/>
      <c r="Q34" s="30">
        <f t="shared" si="1"/>
        <v>393688000</v>
      </c>
      <c r="R34" s="37"/>
      <c r="S34" s="30">
        <v>31733000</v>
      </c>
      <c r="U34" s="96">
        <f>+Q34-'St of Net Assets - GA'!M34-'LT _Lia - GA'!S34</f>
        <v>0</v>
      </c>
    </row>
    <row r="35" spans="1:21" ht="12" customHeight="1">
      <c r="A35" s="32" t="s">
        <v>33</v>
      </c>
      <c r="B35" s="32"/>
      <c r="C35" s="30">
        <v>595000</v>
      </c>
      <c r="D35" s="30"/>
      <c r="E35" s="30">
        <v>93186</v>
      </c>
      <c r="F35" s="30"/>
      <c r="G35" s="30">
        <v>169137</v>
      </c>
      <c r="H35" s="30"/>
      <c r="I35" s="30">
        <f>171397+923035</f>
        <v>1094432</v>
      </c>
      <c r="J35" s="30"/>
      <c r="K35" s="30">
        <v>11955</v>
      </c>
      <c r="L35" s="30"/>
      <c r="M35" s="30">
        <v>867912</v>
      </c>
      <c r="N35" s="30"/>
      <c r="O35" s="30">
        <v>276269</v>
      </c>
      <c r="P35" s="30"/>
      <c r="Q35" s="30">
        <f t="shared" si="1"/>
        <v>3107891</v>
      </c>
      <c r="R35" s="37"/>
      <c r="S35" s="30">
        <v>988561</v>
      </c>
      <c r="U35" s="96">
        <f>+Q35-'St of Net Assets - GA'!M35-'LT _Lia - GA'!S35</f>
        <v>0</v>
      </c>
    </row>
    <row r="36" spans="1:21" ht="12" customHeight="1">
      <c r="A36" s="32" t="s">
        <v>34</v>
      </c>
      <c r="B36" s="32"/>
      <c r="C36" s="30">
        <v>2180300</v>
      </c>
      <c r="D36" s="30"/>
      <c r="E36" s="30">
        <v>0</v>
      </c>
      <c r="F36" s="30"/>
      <c r="G36" s="30">
        <v>0</v>
      </c>
      <c r="H36" s="30"/>
      <c r="I36" s="30">
        <f>8431+54864</f>
        <v>63295</v>
      </c>
      <c r="J36" s="30"/>
      <c r="K36" s="30">
        <v>34073</v>
      </c>
      <c r="L36" s="30"/>
      <c r="M36" s="30">
        <v>1109652</v>
      </c>
      <c r="N36" s="30"/>
      <c r="O36" s="30">
        <v>0</v>
      </c>
      <c r="P36" s="30"/>
      <c r="Q36" s="30">
        <f t="shared" si="1"/>
        <v>3387320</v>
      </c>
      <c r="R36" s="37"/>
      <c r="S36" s="30">
        <v>678576</v>
      </c>
      <c r="U36" s="96">
        <f>+Q36-'St of Net Assets - GA'!M36-'LT _Lia - GA'!S36</f>
        <v>0</v>
      </c>
    </row>
    <row r="37" spans="1:21" ht="12" customHeight="1">
      <c r="A37" s="32" t="s">
        <v>35</v>
      </c>
      <c r="B37" s="32"/>
      <c r="C37" s="30">
        <v>520000</v>
      </c>
      <c r="D37" s="30"/>
      <c r="E37" s="30">
        <v>1637562</v>
      </c>
      <c r="F37" s="30"/>
      <c r="G37" s="30">
        <v>0</v>
      </c>
      <c r="H37" s="30"/>
      <c r="I37" s="30">
        <v>0</v>
      </c>
      <c r="J37" s="30"/>
      <c r="K37" s="30">
        <v>26976</v>
      </c>
      <c r="L37" s="30"/>
      <c r="M37" s="30">
        <v>2921113</v>
      </c>
      <c r="N37" s="30"/>
      <c r="O37" s="30">
        <v>0</v>
      </c>
      <c r="P37" s="30"/>
      <c r="Q37" s="30">
        <f t="shared" si="1"/>
        <v>5105651</v>
      </c>
      <c r="R37" s="37"/>
      <c r="S37" s="30">
        <v>1049270</v>
      </c>
      <c r="U37" s="96">
        <f>+Q37-'St of Net Assets - GA'!M37-'LT _Lia - GA'!S37</f>
        <v>12</v>
      </c>
    </row>
    <row r="38" spans="1:21" ht="12" customHeight="1">
      <c r="A38" s="32" t="s">
        <v>181</v>
      </c>
      <c r="B38" s="32"/>
      <c r="C38" s="30">
        <v>26614345</v>
      </c>
      <c r="D38" s="30"/>
      <c r="E38" s="30">
        <v>0</v>
      </c>
      <c r="F38" s="30"/>
      <c r="G38" s="30">
        <v>0</v>
      </c>
      <c r="H38" s="30"/>
      <c r="I38" s="30">
        <v>0</v>
      </c>
      <c r="J38" s="30"/>
      <c r="K38" s="30">
        <v>0</v>
      </c>
      <c r="L38" s="30"/>
      <c r="M38" s="30">
        <v>6102697</v>
      </c>
      <c r="N38" s="30"/>
      <c r="O38" s="30">
        <v>0</v>
      </c>
      <c r="P38" s="30"/>
      <c r="Q38" s="30">
        <f t="shared" si="1"/>
        <v>32717042</v>
      </c>
      <c r="R38" s="37"/>
      <c r="S38" s="30">
        <v>1447947</v>
      </c>
      <c r="U38" s="96">
        <f>+Q38-'St of Net Assets - GA'!M38-'LT _Lia - GA'!S38</f>
        <v>0</v>
      </c>
    </row>
    <row r="39" spans="1:21" ht="12" customHeight="1" hidden="1">
      <c r="A39" s="32" t="s">
        <v>242</v>
      </c>
      <c r="B39" s="32"/>
      <c r="C39" s="24"/>
      <c r="D39" s="30"/>
      <c r="E39" s="24"/>
      <c r="F39" s="30"/>
      <c r="G39" s="24"/>
      <c r="H39" s="30"/>
      <c r="I39" s="24"/>
      <c r="J39" s="30"/>
      <c r="K39" s="24"/>
      <c r="L39" s="30"/>
      <c r="M39" s="24"/>
      <c r="N39" s="30"/>
      <c r="O39" s="24"/>
      <c r="P39" s="30"/>
      <c r="Q39" s="30">
        <f t="shared" si="1"/>
        <v>0</v>
      </c>
      <c r="R39" s="37"/>
      <c r="S39" s="24"/>
      <c r="U39" s="96">
        <f>+Q39-'St of Net Assets - GA'!M39-'LT _Lia - GA'!S39</f>
        <v>0</v>
      </c>
    </row>
    <row r="40" spans="1:21" ht="12" customHeight="1" hidden="1">
      <c r="A40" s="32" t="s">
        <v>37</v>
      </c>
      <c r="B40" s="32"/>
      <c r="C40" s="24"/>
      <c r="D40" s="30"/>
      <c r="E40" s="24"/>
      <c r="F40" s="30"/>
      <c r="G40" s="24"/>
      <c r="H40" s="30"/>
      <c r="I40" s="24"/>
      <c r="J40" s="30"/>
      <c r="K40" s="24"/>
      <c r="L40" s="30"/>
      <c r="M40" s="24"/>
      <c r="N40" s="30"/>
      <c r="O40" s="24"/>
      <c r="P40" s="30"/>
      <c r="Q40" s="30">
        <f t="shared" si="1"/>
        <v>0</v>
      </c>
      <c r="R40" s="37"/>
      <c r="S40" s="24"/>
      <c r="U40" s="96">
        <f>+Q40-'St of Net Assets - GA'!M40-'LT _Lia - GA'!S40</f>
        <v>0</v>
      </c>
    </row>
    <row r="41" spans="1:21" ht="12" customHeight="1">
      <c r="A41" s="32" t="s">
        <v>38</v>
      </c>
      <c r="B41" s="32"/>
      <c r="C41" s="24">
        <v>7670681</v>
      </c>
      <c r="D41" s="30"/>
      <c r="E41" s="24">
        <v>1820374</v>
      </c>
      <c r="F41" s="30"/>
      <c r="G41" s="24">
        <v>92713</v>
      </c>
      <c r="H41" s="30"/>
      <c r="I41" s="143">
        <v>280350</v>
      </c>
      <c r="J41" s="30"/>
      <c r="K41" s="24">
        <v>0</v>
      </c>
      <c r="L41" s="30"/>
      <c r="M41" s="24">
        <v>2681619</v>
      </c>
      <c r="N41" s="30"/>
      <c r="O41" s="24">
        <f>1519694+2068</f>
        <v>1521762</v>
      </c>
      <c r="P41" s="30"/>
      <c r="Q41" s="30">
        <f t="shared" si="1"/>
        <v>14067499</v>
      </c>
      <c r="R41" s="37"/>
      <c r="S41" s="24">
        <v>2276395</v>
      </c>
      <c r="U41" s="96">
        <f>+Q41-'St of Net Assets - GA'!M41-'LT _Lia - GA'!S41</f>
        <v>0</v>
      </c>
    </row>
    <row r="42" spans="1:21" ht="12" customHeight="1" hidden="1">
      <c r="A42" s="32" t="s">
        <v>167</v>
      </c>
      <c r="B42" s="32"/>
      <c r="C42" s="24"/>
      <c r="D42" s="30"/>
      <c r="E42" s="24"/>
      <c r="F42" s="30"/>
      <c r="G42" s="24"/>
      <c r="H42" s="30"/>
      <c r="I42" s="24"/>
      <c r="J42" s="30"/>
      <c r="K42" s="24"/>
      <c r="L42" s="30"/>
      <c r="M42" s="24"/>
      <c r="N42" s="30"/>
      <c r="O42" s="24"/>
      <c r="P42" s="30"/>
      <c r="Q42" s="30">
        <f t="shared" si="1"/>
        <v>0</v>
      </c>
      <c r="R42" s="37"/>
      <c r="S42" s="24"/>
      <c r="U42" s="96">
        <f>+Q42-'St of Net Assets - GA'!M42-'LT _Lia - GA'!S42</f>
        <v>0</v>
      </c>
    </row>
    <row r="43" spans="1:21" ht="12" customHeight="1" hidden="1">
      <c r="A43" s="32" t="s">
        <v>39</v>
      </c>
      <c r="B43" s="32"/>
      <c r="C43" s="24"/>
      <c r="D43" s="30"/>
      <c r="E43" s="24"/>
      <c r="F43" s="30"/>
      <c r="G43" s="24"/>
      <c r="H43" s="30"/>
      <c r="I43" s="24"/>
      <c r="J43" s="30"/>
      <c r="K43" s="24"/>
      <c r="L43" s="30"/>
      <c r="M43" s="24"/>
      <c r="N43" s="30"/>
      <c r="O43" s="24"/>
      <c r="P43" s="30"/>
      <c r="Q43" s="30">
        <f t="shared" si="1"/>
        <v>0</v>
      </c>
      <c r="R43" s="37"/>
      <c r="S43" s="24"/>
      <c r="U43" s="96">
        <f>+Q43-'St of Net Assets - GA'!M43-'LT _Lia - GA'!S43</f>
        <v>0</v>
      </c>
    </row>
    <row r="44" spans="1:21" ht="12" customHeight="1">
      <c r="A44" s="32" t="s">
        <v>40</v>
      </c>
      <c r="B44" s="32"/>
      <c r="C44" s="24">
        <v>16000</v>
      </c>
      <c r="D44" s="30"/>
      <c r="E44" s="24">
        <v>98493</v>
      </c>
      <c r="F44" s="30"/>
      <c r="G44" s="24">
        <v>0</v>
      </c>
      <c r="H44" s="30"/>
      <c r="I44" s="24">
        <f>85522+44766</f>
        <v>130288</v>
      </c>
      <c r="J44" s="30"/>
      <c r="K44" s="24">
        <v>0</v>
      </c>
      <c r="L44" s="30"/>
      <c r="M44" s="24">
        <v>1816014</v>
      </c>
      <c r="N44" s="30"/>
      <c r="O44" s="24">
        <v>0</v>
      </c>
      <c r="P44" s="30"/>
      <c r="Q44" s="30">
        <f t="shared" si="1"/>
        <v>2060795</v>
      </c>
      <c r="R44" s="37"/>
      <c r="S44" s="24">
        <v>845309</v>
      </c>
      <c r="U44" s="96">
        <f>+Q44-'St of Net Assets - GA'!M44-'LT _Lia - GA'!S44</f>
        <v>0</v>
      </c>
    </row>
    <row r="45" spans="1:21" ht="12" customHeight="1" hidden="1">
      <c r="A45" s="32" t="s">
        <v>41</v>
      </c>
      <c r="B45" s="32"/>
      <c r="C45" s="24"/>
      <c r="D45" s="30"/>
      <c r="E45" s="24"/>
      <c r="F45" s="30"/>
      <c r="G45" s="24"/>
      <c r="H45" s="30"/>
      <c r="I45" s="24"/>
      <c r="J45" s="30"/>
      <c r="K45" s="24"/>
      <c r="L45" s="30"/>
      <c r="M45" s="24"/>
      <c r="N45" s="30"/>
      <c r="O45" s="24"/>
      <c r="P45" s="30"/>
      <c r="Q45" s="30">
        <f t="shared" si="1"/>
        <v>0</v>
      </c>
      <c r="R45" s="37"/>
      <c r="S45" s="24"/>
      <c r="U45" s="96">
        <f>+Q45-'St of Net Assets - GA'!M45-'LT _Lia - GA'!S45</f>
        <v>0</v>
      </c>
    </row>
    <row r="46" spans="1:21" ht="12" customHeight="1">
      <c r="A46" s="32" t="s">
        <v>42</v>
      </c>
      <c r="B46" s="32"/>
      <c r="C46" s="24">
        <v>160000</v>
      </c>
      <c r="D46" s="142"/>
      <c r="E46" s="24">
        <v>21200</v>
      </c>
      <c r="F46" s="142"/>
      <c r="G46" s="24">
        <v>576688</v>
      </c>
      <c r="H46" s="142"/>
      <c r="I46" s="24">
        <v>0</v>
      </c>
      <c r="J46" s="142"/>
      <c r="K46" s="24">
        <v>0</v>
      </c>
      <c r="L46" s="142"/>
      <c r="M46" s="24">
        <v>850870</v>
      </c>
      <c r="N46" s="142"/>
      <c r="O46" s="24">
        <v>0</v>
      </c>
      <c r="P46" s="142"/>
      <c r="Q46" s="142">
        <f t="shared" si="1"/>
        <v>1608758</v>
      </c>
      <c r="R46" s="159"/>
      <c r="S46" s="24">
        <v>183671</v>
      </c>
      <c r="T46" s="34"/>
      <c r="U46" s="96">
        <f>+Q46-'St of Net Assets - GA'!M46-'LT _Lia - GA'!S46</f>
        <v>0</v>
      </c>
    </row>
    <row r="47" spans="1:21" ht="12" customHeight="1">
      <c r="A47" s="32" t="s">
        <v>43</v>
      </c>
      <c r="B47" s="32"/>
      <c r="C47" s="24">
        <f>5385000+102105</f>
        <v>5487105</v>
      </c>
      <c r="D47" s="142"/>
      <c r="E47" s="24">
        <v>0</v>
      </c>
      <c r="F47" s="142"/>
      <c r="G47" s="24">
        <v>0</v>
      </c>
      <c r="H47" s="142"/>
      <c r="I47" s="24">
        <v>0</v>
      </c>
      <c r="J47" s="142"/>
      <c r="K47" s="24">
        <v>5783</v>
      </c>
      <c r="L47" s="142"/>
      <c r="M47" s="24">
        <v>1090854</v>
      </c>
      <c r="N47" s="142"/>
      <c r="O47" s="24">
        <v>4514240</v>
      </c>
      <c r="P47" s="142"/>
      <c r="Q47" s="142">
        <f t="shared" si="1"/>
        <v>11097982</v>
      </c>
      <c r="R47" s="159"/>
      <c r="S47" s="24">
        <v>1183876</v>
      </c>
      <c r="T47" s="34"/>
      <c r="U47" s="96">
        <f>+Q47-'St of Net Assets - GA'!M47-'LT _Lia - GA'!S47</f>
        <v>0</v>
      </c>
    </row>
    <row r="48" spans="1:21" ht="12" customHeight="1">
      <c r="A48" s="32" t="s">
        <v>44</v>
      </c>
      <c r="B48" s="32"/>
      <c r="C48" s="24">
        <f>1830000+1795000+291000+1010000+505000</f>
        <v>5431000</v>
      </c>
      <c r="D48" s="142"/>
      <c r="E48" s="24">
        <v>0</v>
      </c>
      <c r="F48" s="142"/>
      <c r="G48" s="24">
        <v>0</v>
      </c>
      <c r="H48" s="142"/>
      <c r="I48" s="24">
        <v>0</v>
      </c>
      <c r="J48" s="142"/>
      <c r="K48" s="24">
        <v>0</v>
      </c>
      <c r="L48" s="142"/>
      <c r="M48" s="24">
        <v>1797768</v>
      </c>
      <c r="N48" s="142"/>
      <c r="O48" s="24">
        <f>7306000-5431000</f>
        <v>1875000</v>
      </c>
      <c r="P48" s="142"/>
      <c r="Q48" s="142">
        <f t="shared" si="1"/>
        <v>9103768</v>
      </c>
      <c r="R48" s="159"/>
      <c r="S48" s="24">
        <v>778221</v>
      </c>
      <c r="T48" s="34"/>
      <c r="U48" s="96">
        <f>+Q48-'St of Net Assets - GA'!M48-'LT _Lia - GA'!S48</f>
        <v>0</v>
      </c>
    </row>
    <row r="49" spans="1:21" ht="12" customHeight="1" hidden="1">
      <c r="A49" s="32" t="s">
        <v>239</v>
      </c>
      <c r="B49" s="32"/>
      <c r="C49" s="24"/>
      <c r="D49" s="142"/>
      <c r="E49" s="24"/>
      <c r="F49" s="142"/>
      <c r="G49" s="24"/>
      <c r="H49" s="142"/>
      <c r="I49" s="24"/>
      <c r="J49" s="142"/>
      <c r="K49" s="24"/>
      <c r="L49" s="142"/>
      <c r="M49" s="24"/>
      <c r="N49" s="142"/>
      <c r="O49" s="24"/>
      <c r="P49" s="142"/>
      <c r="Q49" s="142">
        <f t="shared" si="1"/>
        <v>0</v>
      </c>
      <c r="R49" s="159"/>
      <c r="S49" s="24"/>
      <c r="T49" s="34"/>
      <c r="U49" s="96">
        <f>+Q49-'St of Net Assets - GA'!M49-'LT _Lia - GA'!S49</f>
        <v>0</v>
      </c>
    </row>
    <row r="50" spans="1:21" ht="12" customHeight="1">
      <c r="A50" s="32" t="s">
        <v>46</v>
      </c>
      <c r="B50" s="32"/>
      <c r="C50" s="24">
        <v>17596297</v>
      </c>
      <c r="D50" s="142"/>
      <c r="E50" s="24">
        <v>0</v>
      </c>
      <c r="F50" s="142"/>
      <c r="G50" s="24">
        <v>2310980</v>
      </c>
      <c r="H50" s="142"/>
      <c r="I50" s="24">
        <v>9758</v>
      </c>
      <c r="J50" s="142"/>
      <c r="K50" s="24">
        <v>39939</v>
      </c>
      <c r="L50" s="142"/>
      <c r="M50" s="24">
        <v>2705745</v>
      </c>
      <c r="N50" s="142"/>
      <c r="O50" s="24">
        <v>808470</v>
      </c>
      <c r="P50" s="142"/>
      <c r="Q50" s="142">
        <f t="shared" si="1"/>
        <v>23471189</v>
      </c>
      <c r="R50" s="159"/>
      <c r="S50" s="24">
        <v>2903925</v>
      </c>
      <c r="T50" s="34"/>
      <c r="U50" s="96">
        <f>+Q50-'St of Net Assets - GA'!M50-'LT _Lia - GA'!S50</f>
        <v>0</v>
      </c>
    </row>
    <row r="51" spans="1:21" ht="12" customHeight="1">
      <c r="A51" s="32" t="s">
        <v>47</v>
      </c>
      <c r="B51" s="32"/>
      <c r="C51" s="24">
        <v>7408049</v>
      </c>
      <c r="D51" s="142"/>
      <c r="E51" s="24">
        <v>0</v>
      </c>
      <c r="F51" s="142"/>
      <c r="G51" s="24">
        <v>0</v>
      </c>
      <c r="H51" s="142"/>
      <c r="I51" s="24">
        <f>199424+707321+550637</f>
        <v>1457382</v>
      </c>
      <c r="J51" s="142"/>
      <c r="K51" s="24">
        <v>0</v>
      </c>
      <c r="L51" s="142"/>
      <c r="M51" s="24">
        <v>1066576</v>
      </c>
      <c r="N51" s="142"/>
      <c r="O51" s="24">
        <v>50448</v>
      </c>
      <c r="P51" s="142"/>
      <c r="Q51" s="142">
        <f t="shared" si="1"/>
        <v>9982455</v>
      </c>
      <c r="R51" s="159"/>
      <c r="S51" s="24">
        <v>1665847</v>
      </c>
      <c r="T51" s="34"/>
      <c r="U51" s="96">
        <f>+Q51-'St of Net Assets - GA'!M51-'LT _Lia - GA'!S51</f>
        <v>0</v>
      </c>
    </row>
    <row r="52" spans="1:21" ht="12" customHeight="1" hidden="1">
      <c r="A52" s="32" t="s">
        <v>48</v>
      </c>
      <c r="B52" s="32"/>
      <c r="C52" s="24"/>
      <c r="D52" s="142"/>
      <c r="E52" s="24"/>
      <c r="F52" s="142"/>
      <c r="G52" s="24"/>
      <c r="H52" s="142"/>
      <c r="I52" s="24"/>
      <c r="J52" s="142"/>
      <c r="K52" s="24"/>
      <c r="L52" s="142"/>
      <c r="M52" s="24"/>
      <c r="N52" s="142"/>
      <c r="O52" s="24"/>
      <c r="P52" s="142"/>
      <c r="Q52" s="142">
        <f>SUM(C52:O52)</f>
        <v>0</v>
      </c>
      <c r="R52" s="159"/>
      <c r="S52" s="24"/>
      <c r="T52" s="34"/>
      <c r="U52" s="96">
        <f>+Q52-'St of Net Assets - GA'!M52-'LT _Lia - GA'!S52</f>
        <v>0</v>
      </c>
    </row>
    <row r="53" spans="1:21" ht="12" customHeight="1" hidden="1">
      <c r="A53" s="32" t="s">
        <v>169</v>
      </c>
      <c r="B53" s="32"/>
      <c r="C53" s="24"/>
      <c r="D53" s="142"/>
      <c r="E53" s="24"/>
      <c r="F53" s="142"/>
      <c r="G53" s="24"/>
      <c r="H53" s="142"/>
      <c r="I53" s="24"/>
      <c r="J53" s="142"/>
      <c r="K53" s="24"/>
      <c r="L53" s="142"/>
      <c r="M53" s="24"/>
      <c r="N53" s="142"/>
      <c r="O53" s="24"/>
      <c r="P53" s="142"/>
      <c r="Q53" s="142">
        <f t="shared" si="1"/>
        <v>0</v>
      </c>
      <c r="R53" s="159"/>
      <c r="S53" s="24"/>
      <c r="T53" s="34"/>
      <c r="U53" s="96">
        <f>+Q53-'St of Net Assets - GA'!M53-'LT _Lia - GA'!S53</f>
        <v>0</v>
      </c>
    </row>
    <row r="54" spans="1:21" ht="12" customHeight="1">
      <c r="A54" s="32" t="s">
        <v>49</v>
      </c>
      <c r="B54" s="32"/>
      <c r="C54" s="24">
        <v>7100000</v>
      </c>
      <c r="D54" s="142"/>
      <c r="E54" s="24">
        <v>363516</v>
      </c>
      <c r="F54" s="142"/>
      <c r="G54" s="24">
        <v>0</v>
      </c>
      <c r="H54" s="142"/>
      <c r="I54" s="24">
        <v>0</v>
      </c>
      <c r="J54" s="142"/>
      <c r="K54" s="24">
        <v>24550</v>
      </c>
      <c r="L54" s="142"/>
      <c r="M54" s="24">
        <v>3823301</v>
      </c>
      <c r="N54" s="142"/>
      <c r="O54" s="24">
        <v>0</v>
      </c>
      <c r="P54" s="142"/>
      <c r="Q54" s="142">
        <f t="shared" si="1"/>
        <v>11311367</v>
      </c>
      <c r="R54" s="159"/>
      <c r="S54" s="24">
        <v>2811024</v>
      </c>
      <c r="T54" s="34"/>
      <c r="U54" s="96">
        <f>+Q54-'St of Net Assets - GA'!M54-'LT _Lia - GA'!S54</f>
        <v>0</v>
      </c>
    </row>
    <row r="55" spans="1:21" ht="12" customHeight="1">
      <c r="A55" s="32" t="s">
        <v>50</v>
      </c>
      <c r="B55" s="32"/>
      <c r="C55" s="24">
        <v>0</v>
      </c>
      <c r="D55" s="142"/>
      <c r="E55" s="24">
        <v>4863875</v>
      </c>
      <c r="F55" s="142"/>
      <c r="G55" s="24">
        <v>0</v>
      </c>
      <c r="H55" s="142"/>
      <c r="I55" s="24">
        <v>0</v>
      </c>
      <c r="J55" s="142"/>
      <c r="K55" s="24">
        <v>0</v>
      </c>
      <c r="L55" s="142"/>
      <c r="M55" s="24">
        <v>1375295</v>
      </c>
      <c r="N55" s="142"/>
      <c r="O55" s="24">
        <v>0</v>
      </c>
      <c r="P55" s="142"/>
      <c r="Q55" s="142">
        <f t="shared" si="1"/>
        <v>6239170</v>
      </c>
      <c r="R55" s="159"/>
      <c r="S55" s="24">
        <v>1064929</v>
      </c>
      <c r="T55" s="34"/>
      <c r="U55" s="96">
        <f>+Q55-'St of Net Assets - GA'!M55-'LT _Lia - GA'!S55</f>
        <v>0</v>
      </c>
    </row>
    <row r="56" spans="1:21" ht="12" customHeight="1">
      <c r="A56" s="32" t="s">
        <v>244</v>
      </c>
      <c r="B56" s="32"/>
      <c r="C56" s="24">
        <v>22195000</v>
      </c>
      <c r="D56" s="142"/>
      <c r="E56" s="24">
        <v>3090000</v>
      </c>
      <c r="F56" s="142"/>
      <c r="G56" s="24">
        <v>0</v>
      </c>
      <c r="H56" s="142"/>
      <c r="I56" s="24">
        <f>323707+669533</f>
        <v>993240</v>
      </c>
      <c r="J56" s="142"/>
      <c r="K56" s="24">
        <v>0</v>
      </c>
      <c r="L56" s="142"/>
      <c r="M56" s="24">
        <v>16808727</v>
      </c>
      <c r="N56" s="142"/>
      <c r="O56" s="24">
        <v>0</v>
      </c>
      <c r="P56" s="142"/>
      <c r="Q56" s="142">
        <f t="shared" si="1"/>
        <v>43086967</v>
      </c>
      <c r="R56" s="159"/>
      <c r="S56" s="24">
        <v>7461167</v>
      </c>
      <c r="T56" s="34"/>
      <c r="U56" s="96">
        <f>+Q56-'St of Net Assets - GA'!M56-'LT _Lia - GA'!S56</f>
        <v>0</v>
      </c>
    </row>
    <row r="57" spans="1:21" ht="12" customHeight="1">
      <c r="A57" s="32" t="s">
        <v>182</v>
      </c>
      <c r="B57" s="32"/>
      <c r="C57" s="24">
        <f>83950000+500214-29823-89497</f>
        <v>84330894</v>
      </c>
      <c r="D57" s="142"/>
      <c r="E57" s="24">
        <v>14796000</v>
      </c>
      <c r="F57" s="142"/>
      <c r="G57" s="24">
        <v>0</v>
      </c>
      <c r="H57" s="142"/>
      <c r="I57" s="24">
        <v>943747</v>
      </c>
      <c r="J57" s="142"/>
      <c r="K57" s="24">
        <v>155782</v>
      </c>
      <c r="L57" s="142"/>
      <c r="M57" s="24">
        <v>19496832</v>
      </c>
      <c r="N57" s="142"/>
      <c r="O57" s="24">
        <f>8480000+695100+365935+7000000+9881936</f>
        <v>26422971</v>
      </c>
      <c r="P57" s="142"/>
      <c r="Q57" s="142">
        <f t="shared" si="1"/>
        <v>146146226</v>
      </c>
      <c r="R57" s="159"/>
      <c r="S57" s="24">
        <v>24278222</v>
      </c>
      <c r="T57" s="34"/>
      <c r="U57" s="96">
        <f>+Q57-'St of Net Assets - GA'!M57-'LT _Lia - GA'!S57</f>
        <v>0</v>
      </c>
    </row>
    <row r="58" spans="1:21" ht="12" customHeight="1" hidden="1">
      <c r="A58" s="32" t="s">
        <v>52</v>
      </c>
      <c r="B58" s="32"/>
      <c r="C58" s="24"/>
      <c r="D58" s="142"/>
      <c r="E58" s="24"/>
      <c r="F58" s="142"/>
      <c r="G58" s="24"/>
      <c r="H58" s="142"/>
      <c r="I58" s="24"/>
      <c r="J58" s="142"/>
      <c r="K58" s="24"/>
      <c r="L58" s="142"/>
      <c r="M58" s="24"/>
      <c r="N58" s="142"/>
      <c r="O58" s="24"/>
      <c r="P58" s="142"/>
      <c r="Q58" s="142">
        <f t="shared" si="1"/>
        <v>0</v>
      </c>
      <c r="R58" s="159"/>
      <c r="S58" s="24"/>
      <c r="T58" s="34"/>
      <c r="U58" s="96">
        <f>+Q58-'St of Net Assets - GA'!M58-'LT _Lia - GA'!S58</f>
        <v>0</v>
      </c>
    </row>
    <row r="59" spans="1:21" ht="12" customHeight="1">
      <c r="A59" s="32" t="s">
        <v>53</v>
      </c>
      <c r="B59" s="32"/>
      <c r="C59" s="24">
        <v>46153856</v>
      </c>
      <c r="D59" s="142"/>
      <c r="E59" s="24">
        <v>0</v>
      </c>
      <c r="F59" s="142"/>
      <c r="G59" s="24">
        <v>0</v>
      </c>
      <c r="H59" s="142"/>
      <c r="I59" s="24">
        <f>561296+273056+248725</f>
        <v>1083077</v>
      </c>
      <c r="J59" s="142"/>
      <c r="K59" s="24">
        <v>944429</v>
      </c>
      <c r="L59" s="142"/>
      <c r="M59" s="24">
        <v>8511866</v>
      </c>
      <c r="N59" s="142"/>
      <c r="O59" s="24">
        <v>1583291</v>
      </c>
      <c r="P59" s="142"/>
      <c r="Q59" s="142">
        <f t="shared" si="1"/>
        <v>58276519</v>
      </c>
      <c r="R59" s="159"/>
      <c r="S59" s="24">
        <v>7121903</v>
      </c>
      <c r="T59" s="34"/>
      <c r="U59" s="96">
        <f>+Q59-'St of Net Assets - GA'!M59-'LT _Lia - GA'!S59</f>
        <v>0</v>
      </c>
    </row>
    <row r="60" spans="1:21" ht="12" customHeight="1">
      <c r="A60" s="32" t="s">
        <v>54</v>
      </c>
      <c r="B60" s="32"/>
      <c r="C60" s="24">
        <f>7715000+35187-351604+1275000</f>
        <v>8673583</v>
      </c>
      <c r="D60" s="142"/>
      <c r="E60" s="24">
        <v>0</v>
      </c>
      <c r="F60" s="142"/>
      <c r="G60" s="24">
        <v>2070000</v>
      </c>
      <c r="H60" s="142"/>
      <c r="I60" s="24">
        <v>113312</v>
      </c>
      <c r="J60" s="142"/>
      <c r="K60" s="24">
        <v>0</v>
      </c>
      <c r="L60" s="142"/>
      <c r="M60" s="24">
        <v>1549206</v>
      </c>
      <c r="N60" s="142"/>
      <c r="O60" s="24">
        <v>0</v>
      </c>
      <c r="P60" s="142"/>
      <c r="Q60" s="142">
        <f t="shared" si="1"/>
        <v>12406101</v>
      </c>
      <c r="R60" s="159"/>
      <c r="S60" s="24">
        <v>2973226</v>
      </c>
      <c r="T60" s="34"/>
      <c r="U60" s="96">
        <f>+Q60-'St of Net Assets - GA'!M60-'LT _Lia - GA'!S60</f>
        <v>0</v>
      </c>
    </row>
    <row r="61" spans="1:21" ht="12" customHeight="1">
      <c r="A61" s="32" t="s">
        <v>55</v>
      </c>
      <c r="B61" s="32"/>
      <c r="C61" s="24">
        <v>4443929</v>
      </c>
      <c r="D61" s="142"/>
      <c r="E61" s="24">
        <v>885051</v>
      </c>
      <c r="F61" s="142"/>
      <c r="G61" s="24">
        <v>0</v>
      </c>
      <c r="H61" s="142"/>
      <c r="I61" s="24">
        <f>96427+24288+518447</f>
        <v>639162</v>
      </c>
      <c r="J61" s="142"/>
      <c r="K61" s="24">
        <v>0</v>
      </c>
      <c r="L61" s="142"/>
      <c r="M61" s="24">
        <v>5847068</v>
      </c>
      <c r="N61" s="142"/>
      <c r="O61" s="24">
        <v>1150000</v>
      </c>
      <c r="P61" s="142"/>
      <c r="Q61" s="142">
        <f t="shared" si="1"/>
        <v>12965210</v>
      </c>
      <c r="R61" s="159"/>
      <c r="S61" s="24">
        <v>1104198</v>
      </c>
      <c r="T61" s="34"/>
      <c r="U61" s="96">
        <f>+Q61-'St of Net Assets - GA'!M61-'LT _Lia - GA'!S61</f>
        <v>0</v>
      </c>
    </row>
    <row r="62" spans="1:21" ht="12" customHeight="1" hidden="1">
      <c r="A62" s="32" t="s">
        <v>170</v>
      </c>
      <c r="B62" s="32"/>
      <c r="C62" s="24"/>
      <c r="D62" s="142"/>
      <c r="E62" s="24"/>
      <c r="F62" s="142"/>
      <c r="G62" s="24"/>
      <c r="H62" s="142"/>
      <c r="I62" s="24"/>
      <c r="J62" s="142"/>
      <c r="K62" s="24"/>
      <c r="L62" s="142"/>
      <c r="M62" s="24"/>
      <c r="N62" s="142"/>
      <c r="O62" s="24"/>
      <c r="P62" s="142"/>
      <c r="Q62" s="142">
        <f t="shared" si="1"/>
        <v>0</v>
      </c>
      <c r="R62" s="159"/>
      <c r="S62" s="24"/>
      <c r="T62" s="34"/>
      <c r="U62" s="96">
        <f>+Q62-'St of Net Assets - GA'!M62-'LT _Lia - GA'!S62</f>
        <v>0</v>
      </c>
    </row>
    <row r="63" spans="1:21" ht="12" customHeight="1" hidden="1">
      <c r="A63" s="32" t="s">
        <v>56</v>
      </c>
      <c r="B63" s="32"/>
      <c r="C63" s="24"/>
      <c r="D63" s="142"/>
      <c r="E63" s="24"/>
      <c r="F63" s="142"/>
      <c r="G63" s="24"/>
      <c r="H63" s="142"/>
      <c r="I63" s="24"/>
      <c r="J63" s="142"/>
      <c r="K63" s="24"/>
      <c r="L63" s="142"/>
      <c r="M63" s="24"/>
      <c r="N63" s="142"/>
      <c r="O63" s="24"/>
      <c r="P63" s="142"/>
      <c r="Q63" s="142">
        <f t="shared" si="1"/>
        <v>0</v>
      </c>
      <c r="R63" s="159"/>
      <c r="S63" s="24"/>
      <c r="T63" s="34"/>
      <c r="U63" s="96">
        <f>+Q63-'St of Net Assets - GA'!M63-'LT _Lia - GA'!S63</f>
        <v>0</v>
      </c>
    </row>
    <row r="64" spans="1:21" ht="12" customHeight="1">
      <c r="A64" s="32" t="s">
        <v>57</v>
      </c>
      <c r="B64" s="32"/>
      <c r="C64" s="24">
        <v>8452850</v>
      </c>
      <c r="D64" s="142"/>
      <c r="E64" s="24">
        <v>0</v>
      </c>
      <c r="F64" s="142"/>
      <c r="G64" s="24">
        <v>0</v>
      </c>
      <c r="H64" s="142"/>
      <c r="I64" s="24">
        <v>0</v>
      </c>
      <c r="J64" s="142"/>
      <c r="K64" s="24">
        <v>12671</v>
      </c>
      <c r="L64" s="142"/>
      <c r="M64" s="24">
        <v>2822757</v>
      </c>
      <c r="N64" s="142"/>
      <c r="O64" s="24">
        <v>7762920</v>
      </c>
      <c r="P64" s="142"/>
      <c r="Q64" s="142">
        <f t="shared" si="1"/>
        <v>19051198</v>
      </c>
      <c r="R64" s="159"/>
      <c r="S64" s="24">
        <v>2003049</v>
      </c>
      <c r="T64" s="34"/>
      <c r="U64" s="96">
        <f>+Q64-'St of Net Assets - GA'!M64-'LT _Lia - GA'!S64</f>
        <v>0</v>
      </c>
    </row>
    <row r="65" spans="1:21" ht="12" customHeight="1" hidden="1">
      <c r="A65" s="32" t="s">
        <v>58</v>
      </c>
      <c r="B65" s="32"/>
      <c r="C65" s="24"/>
      <c r="D65" s="142"/>
      <c r="E65" s="24"/>
      <c r="F65" s="142"/>
      <c r="G65" s="24"/>
      <c r="H65" s="142"/>
      <c r="I65" s="24"/>
      <c r="J65" s="142"/>
      <c r="K65" s="24"/>
      <c r="L65" s="142"/>
      <c r="M65" s="24"/>
      <c r="N65" s="142"/>
      <c r="O65" s="24"/>
      <c r="P65" s="142"/>
      <c r="Q65" s="142">
        <f t="shared" si="1"/>
        <v>0</v>
      </c>
      <c r="R65" s="159"/>
      <c r="S65" s="24"/>
      <c r="T65" s="34"/>
      <c r="U65" s="96">
        <f>+Q65-'St of Net Assets - GA'!M65-'LT _Lia - GA'!S65</f>
        <v>0</v>
      </c>
    </row>
    <row r="66" spans="1:21" ht="12" customHeight="1">
      <c r="A66" s="32" t="s">
        <v>59</v>
      </c>
      <c r="B66" s="32"/>
      <c r="C66" s="24">
        <v>34105441</v>
      </c>
      <c r="D66" s="30"/>
      <c r="E66" s="24">
        <v>940503</v>
      </c>
      <c r="F66" s="30"/>
      <c r="G66" s="24">
        <v>0</v>
      </c>
      <c r="H66" s="30"/>
      <c r="I66" s="24">
        <v>0</v>
      </c>
      <c r="J66" s="30"/>
      <c r="K66" s="24">
        <v>413648</v>
      </c>
      <c r="L66" s="30"/>
      <c r="M66" s="24">
        <v>19349486</v>
      </c>
      <c r="N66" s="30"/>
      <c r="O66" s="24">
        <v>0</v>
      </c>
      <c r="P66" s="30"/>
      <c r="Q66" s="30">
        <f>SUM(C66:O66)</f>
        <v>54809078</v>
      </c>
      <c r="R66" s="37"/>
      <c r="S66" s="24">
        <f>145293+8240873+3088238+131503</f>
        <v>11605907</v>
      </c>
      <c r="U66" s="96">
        <f>+Q66-'St of Net Assets - GA'!M66-'LT _Lia - GA'!S66</f>
        <v>-5408193</v>
      </c>
    </row>
    <row r="67" spans="1:23" ht="12" customHeight="1" hidden="1">
      <c r="A67" s="32" t="s">
        <v>60</v>
      </c>
      <c r="B67" s="32"/>
      <c r="C67" s="24"/>
      <c r="D67" s="30"/>
      <c r="E67" s="24"/>
      <c r="F67" s="30"/>
      <c r="G67" s="24"/>
      <c r="H67" s="30"/>
      <c r="I67" s="24"/>
      <c r="J67" s="30"/>
      <c r="K67" s="24"/>
      <c r="L67" s="30"/>
      <c r="M67" s="24"/>
      <c r="N67" s="30"/>
      <c r="O67" s="24"/>
      <c r="P67" s="30"/>
      <c r="Q67" s="30">
        <f t="shared" si="1"/>
        <v>0</v>
      </c>
      <c r="R67" s="37"/>
      <c r="S67" s="24"/>
      <c r="U67" s="96">
        <f>+Q67-'St of Net Assets - GA'!M67-'LT _Lia - GA'!S67</f>
        <v>0</v>
      </c>
      <c r="W67" s="96"/>
    </row>
    <row r="68" spans="1:21" ht="12" customHeight="1">
      <c r="A68" s="32" t="s">
        <v>97</v>
      </c>
      <c r="B68" s="32"/>
      <c r="C68" s="24">
        <f>5180000-26705</f>
        <v>5153295</v>
      </c>
      <c r="D68" s="30"/>
      <c r="E68" s="24">
        <v>0</v>
      </c>
      <c r="F68" s="30"/>
      <c r="G68" s="24">
        <v>0</v>
      </c>
      <c r="H68" s="30"/>
      <c r="I68" s="24">
        <f>408000+2000000+667471</f>
        <v>3075471</v>
      </c>
      <c r="J68" s="30"/>
      <c r="K68" s="24">
        <v>95133</v>
      </c>
      <c r="L68" s="30"/>
      <c r="M68" s="24">
        <v>870602</v>
      </c>
      <c r="N68" s="30"/>
      <c r="O68" s="24">
        <v>0</v>
      </c>
      <c r="P68" s="30"/>
      <c r="Q68" s="30">
        <f t="shared" si="1"/>
        <v>9194501</v>
      </c>
      <c r="R68" s="37"/>
      <c r="S68" s="24">
        <v>2550101</v>
      </c>
      <c r="U68" s="96">
        <f>+Q68-'St of Net Assets - GA'!M68-'LT _Lia - GA'!S68</f>
        <v>0</v>
      </c>
    </row>
    <row r="69" spans="1:21" ht="12" customHeight="1">
      <c r="A69" s="32" t="s">
        <v>61</v>
      </c>
      <c r="B69" s="32"/>
      <c r="C69" s="24">
        <v>11217853</v>
      </c>
      <c r="D69" s="30"/>
      <c r="E69" s="24">
        <v>621541</v>
      </c>
      <c r="F69" s="30"/>
      <c r="G69" s="24">
        <v>400000</v>
      </c>
      <c r="H69" s="30"/>
      <c r="I69" s="24">
        <v>0</v>
      </c>
      <c r="J69" s="30"/>
      <c r="K69" s="24">
        <v>732653</v>
      </c>
      <c r="L69" s="30"/>
      <c r="M69" s="24">
        <v>3499291</v>
      </c>
      <c r="N69" s="30"/>
      <c r="O69" s="24">
        <f>322018+6235926</f>
        <v>6557944</v>
      </c>
      <c r="P69" s="30"/>
      <c r="Q69" s="30">
        <f t="shared" si="1"/>
        <v>23029282</v>
      </c>
      <c r="R69" s="37"/>
      <c r="S69" s="24">
        <v>3675321</v>
      </c>
      <c r="U69" s="96">
        <f>+Q69-'St of Net Assets - GA'!M69-'LT _Lia - GA'!S69</f>
        <v>0</v>
      </c>
    </row>
    <row r="70" spans="1:21" s="26" customFormat="1" ht="12" customHeight="1">
      <c r="A70" s="32" t="s">
        <v>62</v>
      </c>
      <c r="B70" s="32"/>
      <c r="C70" s="24">
        <v>400000</v>
      </c>
      <c r="D70" s="30"/>
      <c r="E70" s="24">
        <v>0</v>
      </c>
      <c r="F70" s="30"/>
      <c r="G70" s="24">
        <v>0</v>
      </c>
      <c r="H70" s="30"/>
      <c r="I70" s="24">
        <v>0</v>
      </c>
      <c r="J70" s="30"/>
      <c r="K70" s="24">
        <v>2653</v>
      </c>
      <c r="L70" s="30"/>
      <c r="M70" s="24">
        <v>542683</v>
      </c>
      <c r="N70" s="30"/>
      <c r="O70" s="24">
        <v>0</v>
      </c>
      <c r="P70" s="30"/>
      <c r="Q70" s="30">
        <f t="shared" si="1"/>
        <v>945336</v>
      </c>
      <c r="R70" s="37"/>
      <c r="S70" s="24">
        <v>267442</v>
      </c>
      <c r="T70" s="38"/>
      <c r="U70" s="96">
        <f>+Q70-'St of Net Assets - GA'!M70-'LT _Lia - GA'!S70</f>
        <v>0</v>
      </c>
    </row>
    <row r="71" spans="1:21" ht="12" customHeight="1" hidden="1">
      <c r="A71" s="32" t="s">
        <v>63</v>
      </c>
      <c r="B71" s="32"/>
      <c r="C71" s="24"/>
      <c r="D71" s="30"/>
      <c r="E71" s="24"/>
      <c r="F71" s="30"/>
      <c r="G71" s="24"/>
      <c r="H71" s="30"/>
      <c r="I71" s="24"/>
      <c r="J71" s="30"/>
      <c r="K71" s="24"/>
      <c r="L71" s="30"/>
      <c r="M71" s="24"/>
      <c r="N71" s="30"/>
      <c r="O71" s="24"/>
      <c r="P71" s="30"/>
      <c r="Q71" s="30">
        <f t="shared" si="1"/>
        <v>0</v>
      </c>
      <c r="R71" s="37"/>
      <c r="S71" s="24"/>
      <c r="U71" s="96">
        <f>+Q71-'St of Net Assets - GA'!M71-'LT _Lia - GA'!S71</f>
        <v>0</v>
      </c>
    </row>
    <row r="72" spans="1:21" ht="12" customHeight="1" hidden="1">
      <c r="A72" s="32" t="s">
        <v>131</v>
      </c>
      <c r="B72" s="32"/>
      <c r="C72" s="24"/>
      <c r="D72" s="30"/>
      <c r="E72" s="24"/>
      <c r="F72" s="30"/>
      <c r="G72" s="24"/>
      <c r="H72" s="30"/>
      <c r="I72" s="24"/>
      <c r="J72" s="30"/>
      <c r="K72" s="24"/>
      <c r="L72" s="30"/>
      <c r="M72" s="24"/>
      <c r="N72" s="30"/>
      <c r="O72" s="24"/>
      <c r="P72" s="30"/>
      <c r="Q72" s="30">
        <f t="shared" si="1"/>
        <v>0</v>
      </c>
      <c r="R72" s="37"/>
      <c r="S72" s="24"/>
      <c r="U72" s="96">
        <f>+Q72-'St of Net Assets - GA'!M72-'LT _Lia - GA'!S72</f>
        <v>0</v>
      </c>
    </row>
    <row r="73" spans="1:21" ht="12" customHeight="1" hidden="1">
      <c r="A73" s="32" t="s">
        <v>64</v>
      </c>
      <c r="B73" s="32"/>
      <c r="C73" s="24"/>
      <c r="D73" s="30"/>
      <c r="E73" s="24"/>
      <c r="F73" s="30"/>
      <c r="G73" s="24"/>
      <c r="H73" s="30"/>
      <c r="I73" s="24"/>
      <c r="J73" s="30"/>
      <c r="K73" s="24"/>
      <c r="L73" s="30"/>
      <c r="M73" s="24"/>
      <c r="N73" s="30"/>
      <c r="O73" s="24"/>
      <c r="P73" s="30"/>
      <c r="Q73" s="30">
        <f t="shared" si="1"/>
        <v>0</v>
      </c>
      <c r="R73" s="37"/>
      <c r="S73" s="24"/>
      <c r="U73" s="96">
        <f>+Q73-'St of Net Assets - GA'!M73-'LT _Lia - GA'!S73</f>
        <v>0</v>
      </c>
    </row>
    <row r="74" spans="1:24" s="96" customFormat="1" ht="12" customHeight="1">
      <c r="A74" s="24" t="s">
        <v>65</v>
      </c>
      <c r="B74" s="24"/>
      <c r="C74" s="24">
        <v>2820615</v>
      </c>
      <c r="D74" s="30"/>
      <c r="E74" s="24">
        <f>85000+22000</f>
        <v>107000</v>
      </c>
      <c r="F74" s="30"/>
      <c r="G74" s="24">
        <f>7600+39617+40050+58025+177383</f>
        <v>322675</v>
      </c>
      <c r="H74" s="30"/>
      <c r="I74" s="24">
        <f>232425+88093</f>
        <v>320518</v>
      </c>
      <c r="J74" s="30"/>
      <c r="K74" s="24">
        <v>66596</v>
      </c>
      <c r="L74" s="30"/>
      <c r="M74" s="24">
        <v>1372176</v>
      </c>
      <c r="N74" s="30"/>
      <c r="O74" s="24">
        <v>0</v>
      </c>
      <c r="P74" s="30"/>
      <c r="Q74" s="30">
        <f>SUM(C74:O74)</f>
        <v>5009580</v>
      </c>
      <c r="R74" s="30"/>
      <c r="S74" s="24">
        <v>1396230</v>
      </c>
      <c r="U74" s="96">
        <f>+Q74-'St of Net Assets - GA'!M74-'LT _Lia - GA'!S74</f>
        <v>66596</v>
      </c>
      <c r="X74" s="102" t="s">
        <v>258</v>
      </c>
    </row>
    <row r="75" spans="1:21" ht="12" customHeight="1">
      <c r="A75" s="32" t="s">
        <v>66</v>
      </c>
      <c r="B75" s="32"/>
      <c r="C75" s="24">
        <f>2180230+180781</f>
        <v>2361011</v>
      </c>
      <c r="D75" s="30"/>
      <c r="E75" s="24">
        <v>2122200</v>
      </c>
      <c r="F75" s="30"/>
      <c r="G75" s="24">
        <v>0</v>
      </c>
      <c r="H75" s="30"/>
      <c r="I75" s="24">
        <f>42187+75000+25875+27350+20576+71875+24151+54000+45000+81250+105000+222456+212500+175750+225000+103800+25400+40055+130000+57000</f>
        <v>1764225</v>
      </c>
      <c r="J75" s="30"/>
      <c r="K75" s="24">
        <v>107950</v>
      </c>
      <c r="L75" s="30"/>
      <c r="M75" s="24">
        <v>832177</v>
      </c>
      <c r="N75" s="30"/>
      <c r="O75" s="24">
        <f>65000</f>
        <v>65000</v>
      </c>
      <c r="P75" s="30"/>
      <c r="Q75" s="30">
        <f t="shared" si="1"/>
        <v>7252563</v>
      </c>
      <c r="R75" s="37"/>
      <c r="S75" s="24">
        <v>506796</v>
      </c>
      <c r="U75" s="96">
        <f>+Q75-'St of Net Assets - GA'!M75-'LT _Lia - GA'!S75</f>
        <v>0</v>
      </c>
    </row>
    <row r="76" spans="1:21" ht="12" customHeight="1">
      <c r="A76" s="32" t="s">
        <v>67</v>
      </c>
      <c r="B76" s="32"/>
      <c r="C76" s="24">
        <v>15761668</v>
      </c>
      <c r="D76" s="30"/>
      <c r="E76" s="24">
        <v>750774</v>
      </c>
      <c r="F76" s="30"/>
      <c r="G76" s="24">
        <v>0</v>
      </c>
      <c r="H76" s="30"/>
      <c r="I76" s="24">
        <v>396477</v>
      </c>
      <c r="J76" s="30"/>
      <c r="K76" s="24">
        <v>0</v>
      </c>
      <c r="L76" s="30"/>
      <c r="M76" s="24">
        <v>4158113</v>
      </c>
      <c r="N76" s="30"/>
      <c r="O76" s="24">
        <v>3018947</v>
      </c>
      <c r="P76" s="30"/>
      <c r="Q76" s="30">
        <f t="shared" si="1"/>
        <v>24085979</v>
      </c>
      <c r="R76" s="37"/>
      <c r="S76" s="24">
        <v>4525407</v>
      </c>
      <c r="U76" s="96">
        <f>+Q76-'St of Net Assets - GA'!M76-'LT _Lia - GA'!S76</f>
        <v>0</v>
      </c>
    </row>
    <row r="77" spans="1:21" ht="12" customHeight="1">
      <c r="A77" s="32" t="s">
        <v>68</v>
      </c>
      <c r="B77" s="32"/>
      <c r="C77" s="24">
        <v>561298</v>
      </c>
      <c r="D77" s="30"/>
      <c r="E77" s="24">
        <v>0</v>
      </c>
      <c r="F77" s="30"/>
      <c r="G77" s="24">
        <v>100097</v>
      </c>
      <c r="H77" s="30"/>
      <c r="I77" s="24">
        <f>138905+205476</f>
        <v>344381</v>
      </c>
      <c r="J77" s="30"/>
      <c r="K77" s="24">
        <v>0</v>
      </c>
      <c r="L77" s="30"/>
      <c r="M77" s="24">
        <v>667888</v>
      </c>
      <c r="N77" s="30"/>
      <c r="O77" s="24">
        <v>0</v>
      </c>
      <c r="P77" s="30"/>
      <c r="Q77" s="30">
        <f t="shared" si="1"/>
        <v>1673664</v>
      </c>
      <c r="R77" s="37"/>
      <c r="S77" s="24">
        <v>543436</v>
      </c>
      <c r="U77" s="96">
        <f>+Q77-'St of Net Assets - GA'!M77-'LT _Lia - GA'!S77</f>
        <v>-209999</v>
      </c>
    </row>
    <row r="78" spans="1:21" ht="12" customHeight="1">
      <c r="A78" s="32"/>
      <c r="B78" s="32"/>
      <c r="C78" s="24"/>
      <c r="D78" s="30"/>
      <c r="E78" s="24"/>
      <c r="F78" s="30"/>
      <c r="G78" s="24"/>
      <c r="H78" s="30"/>
      <c r="I78" s="24"/>
      <c r="J78" s="30"/>
      <c r="K78" s="24"/>
      <c r="L78" s="30"/>
      <c r="M78" s="24"/>
      <c r="N78" s="30"/>
      <c r="O78" s="24"/>
      <c r="P78" s="30"/>
      <c r="Q78" s="30"/>
      <c r="R78" s="37"/>
      <c r="S78" s="24"/>
      <c r="U78" s="96"/>
    </row>
    <row r="79" spans="1:21" ht="12" customHeight="1">
      <c r="A79" s="32"/>
      <c r="B79" s="32"/>
      <c r="C79" s="24"/>
      <c r="D79" s="30"/>
      <c r="E79" s="24"/>
      <c r="F79" s="30"/>
      <c r="G79" s="24"/>
      <c r="H79" s="30"/>
      <c r="I79" s="24"/>
      <c r="J79" s="30"/>
      <c r="K79" s="24"/>
      <c r="L79" s="30"/>
      <c r="M79" s="24"/>
      <c r="N79" s="30"/>
      <c r="O79" s="24"/>
      <c r="P79" s="30"/>
      <c r="Q79" s="30" t="s">
        <v>247</v>
      </c>
      <c r="R79" s="37"/>
      <c r="S79" s="24"/>
      <c r="U79" s="96"/>
    </row>
    <row r="80" spans="1:21" ht="12" customHeight="1" hidden="1">
      <c r="A80" s="32" t="s">
        <v>175</v>
      </c>
      <c r="B80" s="32"/>
      <c r="C80" s="24"/>
      <c r="D80" s="30"/>
      <c r="E80" s="24"/>
      <c r="F80" s="30"/>
      <c r="G80" s="24"/>
      <c r="H80" s="30"/>
      <c r="I80" s="24"/>
      <c r="J80" s="30"/>
      <c r="K80" s="24"/>
      <c r="L80" s="30"/>
      <c r="M80" s="24"/>
      <c r="N80" s="30"/>
      <c r="O80" s="24"/>
      <c r="P80" s="30"/>
      <c r="Q80" s="30">
        <f t="shared" si="1"/>
        <v>0</v>
      </c>
      <c r="R80" s="37"/>
      <c r="S80" s="24"/>
      <c r="U80" s="96">
        <f>+Q80-'St of Net Assets - GA'!M80-'LT _Lia - GA'!S80</f>
        <v>0</v>
      </c>
    </row>
    <row r="81" spans="1:21" s="118" customFormat="1" ht="12" customHeight="1">
      <c r="A81" s="44" t="s">
        <v>177</v>
      </c>
      <c r="B81" s="44"/>
      <c r="C81" s="177">
        <v>28127391</v>
      </c>
      <c r="D81" s="179"/>
      <c r="E81" s="177">
        <v>3305000</v>
      </c>
      <c r="F81" s="179"/>
      <c r="G81" s="177">
        <v>8116237</v>
      </c>
      <c r="H81" s="179"/>
      <c r="I81" s="177">
        <f>880531+273454+423440</f>
        <v>1577425</v>
      </c>
      <c r="J81" s="179"/>
      <c r="K81" s="177">
        <v>2019170</v>
      </c>
      <c r="L81" s="179"/>
      <c r="M81" s="177">
        <v>4579393</v>
      </c>
      <c r="N81" s="179"/>
      <c r="O81" s="177">
        <v>0</v>
      </c>
      <c r="P81" s="179"/>
      <c r="Q81" s="179">
        <f t="shared" si="1"/>
        <v>47724616</v>
      </c>
      <c r="R81" s="179"/>
      <c r="S81" s="177">
        <v>4353533</v>
      </c>
      <c r="T81" s="177"/>
      <c r="U81" s="177">
        <f>+Q81-'St of Net Assets - GA'!M81-'LT _Lia - GA'!S81</f>
        <v>0</v>
      </c>
    </row>
    <row r="82" spans="1:21" ht="12" customHeight="1">
      <c r="A82" s="32" t="s">
        <v>69</v>
      </c>
      <c r="B82" s="32"/>
      <c r="C82" s="24">
        <f>2170000+4925000+10729</f>
        <v>7105729</v>
      </c>
      <c r="D82" s="30"/>
      <c r="E82" s="24">
        <v>2760000</v>
      </c>
      <c r="F82" s="30"/>
      <c r="G82" s="24">
        <v>0</v>
      </c>
      <c r="H82" s="30"/>
      <c r="I82" s="24">
        <v>354748</v>
      </c>
      <c r="J82" s="30"/>
      <c r="K82" s="24">
        <v>157501</v>
      </c>
      <c r="L82" s="30"/>
      <c r="M82" s="24">
        <v>1866341</v>
      </c>
      <c r="N82" s="30"/>
      <c r="O82" s="24">
        <v>192076</v>
      </c>
      <c r="P82" s="30"/>
      <c r="Q82" s="30">
        <f t="shared" si="1"/>
        <v>12436395</v>
      </c>
      <c r="R82" s="37"/>
      <c r="S82" s="24">
        <v>2292479</v>
      </c>
      <c r="U82" s="96">
        <f>+Q82-'St of Net Assets - GA'!M82-'LT _Lia - GA'!S82</f>
        <v>0</v>
      </c>
    </row>
    <row r="83" spans="1:21" ht="12" customHeight="1">
      <c r="A83" s="32" t="s">
        <v>98</v>
      </c>
      <c r="B83" s="32"/>
      <c r="C83" s="24">
        <v>3385000</v>
      </c>
      <c r="D83" s="30"/>
      <c r="E83" s="24">
        <v>79525</v>
      </c>
      <c r="F83" s="30"/>
      <c r="G83" s="24">
        <v>0</v>
      </c>
      <c r="H83" s="30"/>
      <c r="I83" s="24">
        <v>0</v>
      </c>
      <c r="J83" s="30"/>
      <c r="K83" s="24">
        <v>136256</v>
      </c>
      <c r="L83" s="30"/>
      <c r="M83" s="24">
        <v>1897217</v>
      </c>
      <c r="N83" s="30"/>
      <c r="O83" s="24">
        <v>0</v>
      </c>
      <c r="P83" s="30"/>
      <c r="Q83" s="30">
        <f t="shared" si="1"/>
        <v>5497998</v>
      </c>
      <c r="R83" s="37"/>
      <c r="S83" s="24">
        <v>1517173</v>
      </c>
      <c r="U83" s="96">
        <f>+Q83-'St of Net Assets - GA'!M83-'LT _Lia - GA'!S83</f>
        <v>0</v>
      </c>
    </row>
    <row r="84" spans="1:21" ht="12" customHeight="1">
      <c r="A84" s="32" t="s">
        <v>70</v>
      </c>
      <c r="B84" s="32"/>
      <c r="C84" s="24">
        <v>9506197</v>
      </c>
      <c r="D84" s="30"/>
      <c r="E84" s="24">
        <v>0</v>
      </c>
      <c r="F84" s="30"/>
      <c r="G84" s="24">
        <v>0</v>
      </c>
      <c r="H84" s="30"/>
      <c r="I84" s="143">
        <f>9072+1523+10519+7918</f>
        <v>29032</v>
      </c>
      <c r="J84" s="30"/>
      <c r="K84" s="24">
        <v>2060029</v>
      </c>
      <c r="L84" s="30"/>
      <c r="M84" s="24">
        <v>1744170</v>
      </c>
      <c r="N84" s="30"/>
      <c r="O84" s="24">
        <v>41403</v>
      </c>
      <c r="P84" s="30"/>
      <c r="Q84" s="30">
        <f t="shared" si="1"/>
        <v>13380831</v>
      </c>
      <c r="R84" s="37"/>
      <c r="S84" s="24">
        <v>2097336</v>
      </c>
      <c r="U84" s="96">
        <f>+Q84-'St of Net Assets - GA'!M84-'LT _Lia - GA'!S84</f>
        <v>0</v>
      </c>
    </row>
    <row r="85" spans="1:21" ht="12" customHeight="1">
      <c r="A85" s="32" t="s">
        <v>71</v>
      </c>
      <c r="B85" s="32"/>
      <c r="C85" s="24">
        <v>4035000</v>
      </c>
      <c r="D85" s="30"/>
      <c r="E85" s="24">
        <v>0</v>
      </c>
      <c r="F85" s="30"/>
      <c r="G85" s="24">
        <v>0</v>
      </c>
      <c r="H85" s="30"/>
      <c r="I85" s="24">
        <v>61114</v>
      </c>
      <c r="J85" s="30"/>
      <c r="K85" s="24">
        <v>15982</v>
      </c>
      <c r="L85" s="30"/>
      <c r="M85" s="24">
        <v>1768538</v>
      </c>
      <c r="N85" s="30"/>
      <c r="O85" s="24">
        <v>0</v>
      </c>
      <c r="P85" s="30"/>
      <c r="Q85" s="30">
        <f t="shared" si="1"/>
        <v>5880634</v>
      </c>
      <c r="R85" s="37"/>
      <c r="S85" s="24">
        <v>903480</v>
      </c>
      <c r="U85" s="96">
        <f>+Q85-'St of Net Assets - GA'!M85-'LT _Lia - GA'!S85</f>
        <v>0</v>
      </c>
    </row>
    <row r="86" spans="1:21" ht="12" customHeight="1">
      <c r="A86" s="32" t="s">
        <v>72</v>
      </c>
      <c r="B86" s="32"/>
      <c r="C86" s="24">
        <v>0</v>
      </c>
      <c r="D86" s="30"/>
      <c r="E86" s="24">
        <v>254147</v>
      </c>
      <c r="F86" s="30"/>
      <c r="G86" s="24">
        <v>0</v>
      </c>
      <c r="H86" s="30"/>
      <c r="I86" s="24">
        <v>0</v>
      </c>
      <c r="J86" s="30"/>
      <c r="K86" s="24">
        <v>215951</v>
      </c>
      <c r="L86" s="30"/>
      <c r="M86" s="24">
        <v>1587119</v>
      </c>
      <c r="N86" s="30"/>
      <c r="O86" s="24">
        <v>0</v>
      </c>
      <c r="P86" s="30"/>
      <c r="Q86" s="30">
        <f t="shared" si="1"/>
        <v>2057217</v>
      </c>
      <c r="R86" s="37"/>
      <c r="S86" s="24">
        <v>424286</v>
      </c>
      <c r="U86" s="96">
        <f>+Q86-'St of Net Assets - GA'!M86-'LT _Lia - GA'!S86</f>
        <v>0</v>
      </c>
    </row>
    <row r="87" spans="1:21" ht="12" customHeight="1">
      <c r="A87" s="32" t="s">
        <v>73</v>
      </c>
      <c r="B87" s="32"/>
      <c r="C87" s="24">
        <v>0</v>
      </c>
      <c r="D87" s="30"/>
      <c r="E87" s="24">
        <v>4932344</v>
      </c>
      <c r="F87" s="30"/>
      <c r="G87" s="24">
        <v>0</v>
      </c>
      <c r="H87" s="30"/>
      <c r="I87" s="143">
        <f>3000704+2553391</f>
        <v>5554095</v>
      </c>
      <c r="J87" s="30"/>
      <c r="K87" s="24">
        <v>2186</v>
      </c>
      <c r="L87" s="30"/>
      <c r="M87" s="24">
        <v>8825817</v>
      </c>
      <c r="N87" s="30"/>
      <c r="O87" s="24">
        <v>3627318</v>
      </c>
      <c r="P87" s="30"/>
      <c r="Q87" s="30">
        <f t="shared" si="1"/>
        <v>22941760</v>
      </c>
      <c r="R87" s="37"/>
      <c r="S87" s="24">
        <v>8394944</v>
      </c>
      <c r="U87" s="96">
        <f>+Q87-'St of Net Assets - GA'!M87-'LT _Lia - GA'!S87</f>
        <v>0</v>
      </c>
    </row>
    <row r="88" spans="1:21" ht="12" customHeight="1">
      <c r="A88" s="32" t="s">
        <v>74</v>
      </c>
      <c r="B88" s="32"/>
      <c r="C88" s="24">
        <v>71081620</v>
      </c>
      <c r="D88" s="30"/>
      <c r="E88" s="24">
        <v>0</v>
      </c>
      <c r="F88" s="30"/>
      <c r="G88" s="24">
        <v>0</v>
      </c>
      <c r="H88" s="30"/>
      <c r="I88" s="24">
        <v>0</v>
      </c>
      <c r="J88" s="30"/>
      <c r="K88" s="24">
        <v>870596</v>
      </c>
      <c r="L88" s="30"/>
      <c r="M88" s="24">
        <v>20151823</v>
      </c>
      <c r="N88" s="30"/>
      <c r="O88" s="24">
        <f>2158654+2376461+3063011+809654+842895-1927933</f>
        <v>7322742</v>
      </c>
      <c r="P88" s="30"/>
      <c r="Q88" s="30">
        <f t="shared" si="1"/>
        <v>99426781</v>
      </c>
      <c r="R88" s="37"/>
      <c r="S88" s="24">
        <v>12530685</v>
      </c>
      <c r="U88" s="96">
        <f>+Q88-'St of Net Assets - GA'!M88-'LT _Lia - GA'!S88</f>
        <v>8600473</v>
      </c>
    </row>
    <row r="89" spans="1:21" ht="12" customHeight="1">
      <c r="A89" s="32" t="s">
        <v>75</v>
      </c>
      <c r="B89" s="32"/>
      <c r="C89" s="24">
        <v>17012610</v>
      </c>
      <c r="D89" s="30"/>
      <c r="E89" s="24">
        <v>1370476</v>
      </c>
      <c r="F89" s="30"/>
      <c r="G89" s="24">
        <v>0</v>
      </c>
      <c r="H89" s="30"/>
      <c r="I89" s="24">
        <v>1658804</v>
      </c>
      <c r="J89" s="30"/>
      <c r="K89" s="24">
        <v>75278</v>
      </c>
      <c r="L89" s="30"/>
      <c r="M89" s="24">
        <v>5450804</v>
      </c>
      <c r="N89" s="30"/>
      <c r="O89" s="24">
        <f>3355000+1984285</f>
        <v>5339285</v>
      </c>
      <c r="P89" s="30"/>
      <c r="Q89" s="30">
        <f t="shared" si="1"/>
        <v>30907257</v>
      </c>
      <c r="R89" s="37"/>
      <c r="S89" s="24">
        <v>2600107</v>
      </c>
      <c r="U89" s="96">
        <f>+Q89-'St of Net Assets - GA'!M89-'LT _Lia - GA'!S89</f>
        <v>1301028</v>
      </c>
    </row>
    <row r="90" spans="1:21" ht="12" customHeight="1">
      <c r="A90" s="32" t="s">
        <v>76</v>
      </c>
      <c r="B90" s="32"/>
      <c r="C90" s="24">
        <v>0</v>
      </c>
      <c r="D90" s="30"/>
      <c r="E90" s="24">
        <v>1384553</v>
      </c>
      <c r="F90" s="30"/>
      <c r="G90" s="24">
        <v>788000</v>
      </c>
      <c r="H90" s="30"/>
      <c r="I90" s="24">
        <v>0</v>
      </c>
      <c r="J90" s="30"/>
      <c r="K90" s="24">
        <v>18895</v>
      </c>
      <c r="L90" s="30"/>
      <c r="M90" s="24">
        <v>1820465</v>
      </c>
      <c r="N90" s="30"/>
      <c r="O90" s="24">
        <v>0</v>
      </c>
      <c r="P90" s="30"/>
      <c r="Q90" s="30">
        <f t="shared" si="1"/>
        <v>4011913</v>
      </c>
      <c r="R90" s="37"/>
      <c r="S90" s="24">
        <v>1152144</v>
      </c>
      <c r="U90" s="96">
        <f>+Q90-'St of Net Assets - GA'!M90-'LT _Lia - GA'!S90</f>
        <v>0</v>
      </c>
    </row>
    <row r="91" spans="1:21" ht="12" customHeight="1">
      <c r="A91" s="32" t="s">
        <v>77</v>
      </c>
      <c r="B91" s="32"/>
      <c r="C91" s="24">
        <f>6080000+75185-25555</f>
        <v>6129630</v>
      </c>
      <c r="D91" s="30"/>
      <c r="E91" s="24">
        <v>2230000</v>
      </c>
      <c r="F91" s="30"/>
      <c r="G91" s="24">
        <v>0</v>
      </c>
      <c r="H91" s="30"/>
      <c r="I91" s="24">
        <v>0</v>
      </c>
      <c r="J91" s="30"/>
      <c r="K91" s="24">
        <v>0</v>
      </c>
      <c r="L91" s="30"/>
      <c r="M91" s="24">
        <v>1740400</v>
      </c>
      <c r="N91" s="30"/>
      <c r="O91" s="24">
        <v>0</v>
      </c>
      <c r="P91" s="30"/>
      <c r="Q91" s="30">
        <f t="shared" si="1"/>
        <v>10100030</v>
      </c>
      <c r="R91" s="37"/>
      <c r="S91" s="24">
        <v>2047325</v>
      </c>
      <c r="U91" s="96">
        <f>+Q91-'St of Net Assets - GA'!M91-'LT _Lia - GA'!S91</f>
        <v>0</v>
      </c>
    </row>
    <row r="92" spans="1:21" ht="12" customHeight="1">
      <c r="A92" s="32" t="s">
        <v>78</v>
      </c>
      <c r="B92" s="32"/>
      <c r="C92" s="24">
        <v>3849431</v>
      </c>
      <c r="D92" s="30"/>
      <c r="E92" s="24">
        <v>0</v>
      </c>
      <c r="F92" s="30"/>
      <c r="G92" s="24">
        <v>1420147</v>
      </c>
      <c r="H92" s="30"/>
      <c r="I92" s="24">
        <v>634245</v>
      </c>
      <c r="J92" s="30"/>
      <c r="K92" s="24">
        <v>121180</v>
      </c>
      <c r="L92" s="30"/>
      <c r="M92" s="24">
        <v>741363</v>
      </c>
      <c r="N92" s="30"/>
      <c r="O92" s="24">
        <v>0</v>
      </c>
      <c r="P92" s="30"/>
      <c r="Q92" s="30">
        <f>SUM(C92:O92)</f>
        <v>6766366</v>
      </c>
      <c r="R92" s="37"/>
      <c r="S92" s="24">
        <v>812119</v>
      </c>
      <c r="U92" s="96">
        <f>+Q92-'St of Net Assets - GA'!M92-'LT _Lia - GA'!S92</f>
        <v>0</v>
      </c>
    </row>
    <row r="93" spans="1:21" ht="12" customHeight="1" hidden="1">
      <c r="A93" s="32" t="s">
        <v>79</v>
      </c>
      <c r="B93" s="32"/>
      <c r="C93" s="24"/>
      <c r="D93" s="30"/>
      <c r="E93" s="24"/>
      <c r="F93" s="30"/>
      <c r="G93" s="24"/>
      <c r="H93" s="30"/>
      <c r="I93" s="24"/>
      <c r="J93" s="30"/>
      <c r="K93" s="24"/>
      <c r="L93" s="30"/>
      <c r="M93" s="24"/>
      <c r="N93" s="30"/>
      <c r="O93" s="24"/>
      <c r="P93" s="30"/>
      <c r="Q93" s="30">
        <f t="shared" si="1"/>
        <v>0</v>
      </c>
      <c r="R93" s="37"/>
      <c r="S93" s="24"/>
      <c r="U93" s="96">
        <f>+Q93-'St of Net Assets - GA'!M93-'LT _Lia - GA'!S93</f>
        <v>0</v>
      </c>
    </row>
    <row r="94" spans="1:21" ht="12" customHeight="1">
      <c r="A94" s="32" t="s">
        <v>80</v>
      </c>
      <c r="B94" s="32"/>
      <c r="C94" s="24">
        <v>6861844</v>
      </c>
      <c r="D94" s="30"/>
      <c r="E94" s="24">
        <v>11541111</v>
      </c>
      <c r="F94" s="30"/>
      <c r="G94" s="24">
        <v>0</v>
      </c>
      <c r="H94" s="30"/>
      <c r="I94" s="24">
        <v>4669970</v>
      </c>
      <c r="J94" s="30"/>
      <c r="K94" s="24">
        <v>5286</v>
      </c>
      <c r="L94" s="30"/>
      <c r="M94" s="24">
        <v>4877485</v>
      </c>
      <c r="N94" s="30"/>
      <c r="O94" s="24">
        <v>2285000</v>
      </c>
      <c r="P94" s="30"/>
      <c r="Q94" s="30">
        <f aca="true" t="shared" si="2" ref="Q94:Q99">SUM(C94:O94)</f>
        <v>30240696</v>
      </c>
      <c r="R94" s="37"/>
      <c r="S94" s="24">
        <v>3273235</v>
      </c>
      <c r="U94" s="96">
        <f>+Q94-'St of Net Assets - GA'!M94-'LT _Lia - GA'!S94</f>
        <v>0</v>
      </c>
    </row>
    <row r="95" spans="1:21" ht="12" customHeight="1">
      <c r="A95" s="32" t="s">
        <v>81</v>
      </c>
      <c r="B95" s="32"/>
      <c r="C95" s="24">
        <v>4183083</v>
      </c>
      <c r="D95" s="30"/>
      <c r="E95" s="24">
        <f>245000+11467</f>
        <v>256467</v>
      </c>
      <c r="F95" s="30"/>
      <c r="G95" s="24">
        <v>0</v>
      </c>
      <c r="H95" s="30"/>
      <c r="I95" s="24">
        <v>0</v>
      </c>
      <c r="J95" s="30"/>
      <c r="K95" s="24">
        <v>338842</v>
      </c>
      <c r="L95" s="30"/>
      <c r="M95" s="143">
        <v>566719</v>
      </c>
      <c r="N95" s="30"/>
      <c r="O95" s="24">
        <v>0</v>
      </c>
      <c r="P95" s="30"/>
      <c r="Q95" s="30">
        <f t="shared" si="2"/>
        <v>5345111</v>
      </c>
      <c r="R95" s="37"/>
      <c r="S95" s="24">
        <v>488185</v>
      </c>
      <c r="U95" s="96">
        <f>+Q95-'St of Net Assets - GA'!M95-'LT _Lia - GA'!S95</f>
        <v>0</v>
      </c>
    </row>
    <row r="96" spans="1:21" ht="12" customHeight="1">
      <c r="A96" s="32" t="s">
        <v>82</v>
      </c>
      <c r="B96" s="32"/>
      <c r="C96" s="24">
        <v>7709052</v>
      </c>
      <c r="D96" s="30"/>
      <c r="E96" s="24">
        <v>0</v>
      </c>
      <c r="F96" s="30"/>
      <c r="G96" s="24">
        <v>0</v>
      </c>
      <c r="H96" s="30"/>
      <c r="I96" s="24">
        <v>179155</v>
      </c>
      <c r="J96" s="30"/>
      <c r="K96" s="24">
        <v>0</v>
      </c>
      <c r="L96" s="30"/>
      <c r="M96" s="24">
        <v>3054206</v>
      </c>
      <c r="N96" s="30"/>
      <c r="O96" s="24">
        <v>0</v>
      </c>
      <c r="P96" s="30"/>
      <c r="Q96" s="30">
        <f t="shared" si="2"/>
        <v>10942413</v>
      </c>
      <c r="R96" s="37"/>
      <c r="S96" s="24">
        <v>1492701</v>
      </c>
      <c r="U96" s="96">
        <f>+Q96-'St of Net Assets - GA'!M96-'LT _Lia - GA'!S96</f>
        <v>0</v>
      </c>
    </row>
    <row r="97" spans="1:21" ht="12" customHeight="1" hidden="1">
      <c r="A97" s="32" t="s">
        <v>173</v>
      </c>
      <c r="B97" s="32"/>
      <c r="C97" s="24"/>
      <c r="D97" s="30"/>
      <c r="E97" s="24"/>
      <c r="F97" s="30"/>
      <c r="G97" s="24"/>
      <c r="H97" s="30"/>
      <c r="I97" s="24"/>
      <c r="J97" s="30"/>
      <c r="K97" s="24"/>
      <c r="L97" s="30"/>
      <c r="M97" s="24"/>
      <c r="N97" s="30"/>
      <c r="O97" s="24"/>
      <c r="P97" s="30"/>
      <c r="Q97" s="30">
        <f t="shared" si="2"/>
        <v>0</v>
      </c>
      <c r="R97" s="37"/>
      <c r="S97" s="24"/>
      <c r="U97" s="96">
        <f>+Q97-'St of Net Assets - GA'!M97-'LT _Lia - GA'!S97</f>
        <v>0</v>
      </c>
    </row>
    <row r="98" spans="1:21" ht="12" customHeight="1">
      <c r="A98" s="32" t="s">
        <v>83</v>
      </c>
      <c r="B98" s="32"/>
      <c r="C98" s="24">
        <v>4946729</v>
      </c>
      <c r="D98" s="30"/>
      <c r="E98" s="24">
        <v>268000</v>
      </c>
      <c r="F98" s="30"/>
      <c r="G98" s="24">
        <v>0</v>
      </c>
      <c r="H98" s="30"/>
      <c r="I98" s="24">
        <v>0</v>
      </c>
      <c r="J98" s="30"/>
      <c r="K98" s="24">
        <v>47593</v>
      </c>
      <c r="L98" s="30"/>
      <c r="M98" s="24">
        <v>4757675</v>
      </c>
      <c r="N98" s="30"/>
      <c r="O98" s="24">
        <v>0</v>
      </c>
      <c r="P98" s="30"/>
      <c r="Q98" s="30">
        <f t="shared" si="2"/>
        <v>10019997</v>
      </c>
      <c r="R98" s="37"/>
      <c r="S98" s="24">
        <v>2887067</v>
      </c>
      <c r="U98" s="96">
        <f>+Q98-'St of Net Assets - GA'!M98-'LT _Lia - GA'!S98</f>
        <v>0</v>
      </c>
    </row>
    <row r="99" spans="1:21" ht="12" customHeight="1" hidden="1">
      <c r="A99" s="32" t="s">
        <v>174</v>
      </c>
      <c r="B99" s="32"/>
      <c r="C99" s="24">
        <v>0</v>
      </c>
      <c r="D99" s="30"/>
      <c r="E99" s="24">
        <v>0</v>
      </c>
      <c r="F99" s="30"/>
      <c r="G99" s="24">
        <v>0</v>
      </c>
      <c r="H99" s="30"/>
      <c r="I99" s="24">
        <v>0</v>
      </c>
      <c r="J99" s="30"/>
      <c r="K99" s="24">
        <v>0</v>
      </c>
      <c r="L99" s="30"/>
      <c r="M99" s="24">
        <v>0</v>
      </c>
      <c r="N99" s="30"/>
      <c r="O99" s="24">
        <v>0</v>
      </c>
      <c r="P99" s="30"/>
      <c r="Q99" s="30">
        <f t="shared" si="2"/>
        <v>0</v>
      </c>
      <c r="R99" s="37"/>
      <c r="S99" s="24">
        <v>0</v>
      </c>
      <c r="U99" s="96">
        <f>+Q99-'St of Net Assets - GA'!M99-'LT _Lia - GA'!S99</f>
        <v>0</v>
      </c>
    </row>
    <row r="100" spans="1:19" ht="12" customHeight="1">
      <c r="A100" s="32"/>
      <c r="B100" s="3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32"/>
    </row>
    <row r="101" spans="1:19" ht="12" customHeight="1">
      <c r="A101" s="32"/>
      <c r="B101" s="32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32"/>
    </row>
    <row r="102" spans="1:19" ht="12" customHeight="1">
      <c r="A102" s="32"/>
      <c r="B102" s="32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32"/>
    </row>
    <row r="103" spans="1:19" ht="12" customHeight="1">
      <c r="A103" s="32"/>
      <c r="B103" s="32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32"/>
    </row>
    <row r="104" spans="1:19" ht="12" customHeight="1">
      <c r="A104" s="32"/>
      <c r="B104" s="32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32"/>
    </row>
    <row r="105" spans="1:19" ht="12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2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2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2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12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</sheetData>
  <sheetProtection/>
  <printOptions/>
  <pageMargins left="1" right="1" top="0.5" bottom="0.5" header="0" footer="0.25"/>
  <pageSetup firstPageNumber="58" useFirstPageNumber="1" horizontalDpi="600" verticalDpi="600" orientation="portrait" pageOrder="overThenDown" r:id="rId1"/>
  <headerFooter scaleWithDoc="0" alignWithMargins="0">
    <oddFooter>&amp;C&amp;"Times New Roman,Regular"&amp;11&amp;P</oddFooter>
  </headerFooter>
  <rowBreaks count="1" manualBreakCount="1">
    <brk id="7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103"/>
  <sheetViews>
    <sheetView view="pageBreakPreview" zoomScaleNormal="130" zoomScaleSheetLayoutView="100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6" sqref="A6"/>
    </sheetView>
  </sheetViews>
  <sheetFormatPr defaultColWidth="9.140625" defaultRowHeight="12" customHeight="1"/>
  <cols>
    <col min="1" max="1" width="15.7109375" style="97" customWidth="1"/>
    <col min="2" max="2" width="1.7109375" style="26" customWidth="1"/>
    <col min="3" max="3" width="10.7109375" style="39" customWidth="1"/>
    <col min="4" max="4" width="1.7109375" style="39" customWidth="1"/>
    <col min="5" max="5" width="10.7109375" style="39" customWidth="1"/>
    <col min="6" max="6" width="1.7109375" style="39" customWidth="1"/>
    <col min="7" max="7" width="10.7109375" style="39" customWidth="1"/>
    <col min="8" max="8" width="1.7109375" style="39" customWidth="1"/>
    <col min="9" max="9" width="10.7109375" style="39" customWidth="1"/>
    <col min="10" max="10" width="1.7109375" style="39" customWidth="1"/>
    <col min="11" max="11" width="10.7109375" style="39" customWidth="1"/>
    <col min="12" max="12" width="1.7109375" style="39" customWidth="1"/>
    <col min="13" max="13" width="10.7109375" style="39" customWidth="1"/>
    <col min="14" max="14" width="1.7109375" style="39" hidden="1" customWidth="1"/>
    <col min="15" max="15" width="10.7109375" style="39" customWidth="1"/>
    <col min="16" max="16" width="1.7109375" style="39" customWidth="1"/>
    <col min="17" max="17" width="12.7109375" style="39" customWidth="1"/>
    <col min="18" max="18" width="1.7109375" style="39" customWidth="1"/>
    <col min="19" max="19" width="10.7109375" style="39" customWidth="1"/>
    <col min="20" max="20" width="1.7109375" style="39" customWidth="1"/>
    <col min="21" max="21" width="10.7109375" style="39" customWidth="1"/>
    <col min="22" max="22" width="1.7109375" style="39" customWidth="1"/>
    <col min="23" max="23" width="11.421875" style="96" bestFit="1" customWidth="1"/>
    <col min="24" max="24" width="1.7109375" style="96" customWidth="1"/>
    <col min="25" max="25" width="12.7109375" style="96" customWidth="1"/>
    <col min="26" max="27" width="9.28125" style="26" bestFit="1" customWidth="1"/>
    <col min="28" max="16384" width="9.140625" style="26" customWidth="1"/>
  </cols>
  <sheetData>
    <row r="1" spans="1:25" ht="12.75" customHeight="1">
      <c r="A1" s="49" t="s">
        <v>197</v>
      </c>
      <c r="B1" s="3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12.75" customHeight="1">
      <c r="A2" s="49" t="s">
        <v>252</v>
      </c>
      <c r="B2" s="3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2.75" customHeight="1">
      <c r="A3" s="49" t="s">
        <v>247</v>
      </c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2.75" customHeight="1">
      <c r="A4" s="49" t="s">
        <v>183</v>
      </c>
      <c r="B4" s="3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2.75" customHeight="1">
      <c r="A5" s="33"/>
      <c r="B5" s="3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2.75" customHeight="1">
      <c r="A6" s="49"/>
      <c r="B6" s="33"/>
      <c r="C6" s="50" t="s">
        <v>143</v>
      </c>
      <c r="D6" s="50"/>
      <c r="E6" s="50"/>
      <c r="F6" s="50"/>
      <c r="G6" s="50"/>
      <c r="H6" s="24"/>
      <c r="I6" s="50" t="s">
        <v>144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52" t="s">
        <v>4</v>
      </c>
      <c r="X6" s="51"/>
      <c r="Y6" s="21" t="s">
        <v>4</v>
      </c>
    </row>
    <row r="7" spans="1:25" ht="12.75" customHeight="1">
      <c r="A7" s="19"/>
      <c r="B7" s="19"/>
      <c r="C7" s="52" t="s">
        <v>0</v>
      </c>
      <c r="D7" s="52"/>
      <c r="E7" s="52" t="s">
        <v>146</v>
      </c>
      <c r="F7" s="52"/>
      <c r="G7" s="52" t="s">
        <v>87</v>
      </c>
      <c r="H7" s="24"/>
      <c r="I7" s="21" t="s">
        <v>147</v>
      </c>
      <c r="J7" s="21"/>
      <c r="K7" s="21" t="s">
        <v>166</v>
      </c>
      <c r="L7" s="21"/>
      <c r="M7" s="21" t="s">
        <v>105</v>
      </c>
      <c r="N7" s="21"/>
      <c r="O7" s="21" t="s">
        <v>142</v>
      </c>
      <c r="P7" s="21"/>
      <c r="Q7" s="52" t="s">
        <v>148</v>
      </c>
      <c r="R7" s="52"/>
      <c r="S7" s="52"/>
      <c r="T7" s="52"/>
      <c r="U7" s="52"/>
      <c r="V7" s="52"/>
      <c r="W7" s="52" t="s">
        <v>103</v>
      </c>
      <c r="X7" s="52"/>
      <c r="Y7" s="52" t="s">
        <v>176</v>
      </c>
    </row>
    <row r="8" spans="1:25" ht="12.75" customHeight="1">
      <c r="A8" s="53" t="s">
        <v>5</v>
      </c>
      <c r="B8" s="19"/>
      <c r="C8" s="20" t="s">
        <v>8</v>
      </c>
      <c r="D8" s="24"/>
      <c r="E8" s="20" t="s">
        <v>150</v>
      </c>
      <c r="F8" s="24"/>
      <c r="G8" s="20" t="s">
        <v>151</v>
      </c>
      <c r="H8" s="24"/>
      <c r="I8" s="20" t="s">
        <v>6</v>
      </c>
      <c r="J8" s="24"/>
      <c r="K8" s="20" t="s">
        <v>6</v>
      </c>
      <c r="L8" s="21"/>
      <c r="M8" s="20" t="s">
        <v>6</v>
      </c>
      <c r="N8" s="24"/>
      <c r="O8" s="20" t="s">
        <v>151</v>
      </c>
      <c r="P8" s="24"/>
      <c r="Q8" s="20" t="s">
        <v>152</v>
      </c>
      <c r="R8" s="24"/>
      <c r="S8" s="20" t="s">
        <v>105</v>
      </c>
      <c r="T8" s="24"/>
      <c r="U8" s="20" t="s">
        <v>153</v>
      </c>
      <c r="V8" s="24"/>
      <c r="W8" s="20" t="s">
        <v>12</v>
      </c>
      <c r="X8" s="24"/>
      <c r="Y8" s="20" t="s">
        <v>245</v>
      </c>
    </row>
    <row r="9" spans="1:25" ht="12.75" customHeight="1">
      <c r="A9" s="19"/>
      <c r="B9" s="19"/>
      <c r="C9" s="21"/>
      <c r="D9" s="24"/>
      <c r="E9" s="21"/>
      <c r="F9" s="24"/>
      <c r="G9" s="21"/>
      <c r="H9" s="24"/>
      <c r="I9" s="21"/>
      <c r="J9" s="24"/>
      <c r="K9" s="21"/>
      <c r="L9" s="21"/>
      <c r="M9" s="21"/>
      <c r="N9" s="24"/>
      <c r="O9" s="21"/>
      <c r="P9" s="24"/>
      <c r="Q9" s="21"/>
      <c r="R9" s="24"/>
      <c r="S9" s="21"/>
      <c r="T9" s="24"/>
      <c r="U9" s="21"/>
      <c r="V9" s="24"/>
      <c r="W9" s="24"/>
      <c r="X9" s="24"/>
      <c r="Y9" s="21"/>
    </row>
    <row r="10" spans="1:25" ht="12.75" customHeight="1" hidden="1">
      <c r="A10" s="89" t="s">
        <v>235</v>
      </c>
      <c r="B10" s="19"/>
      <c r="C10" s="44">
        <v>3396023</v>
      </c>
      <c r="D10" s="44"/>
      <c r="E10" s="44">
        <v>9626815</v>
      </c>
      <c r="F10" s="44"/>
      <c r="G10" s="44">
        <v>1543599</v>
      </c>
      <c r="H10" s="44"/>
      <c r="I10" s="44">
        <f>1942115+3014203+134960</f>
        <v>5091278</v>
      </c>
      <c r="J10" s="44"/>
      <c r="K10" s="44">
        <v>2180343</v>
      </c>
      <c r="L10" s="44"/>
      <c r="M10" s="44">
        <v>0</v>
      </c>
      <c r="N10" s="44"/>
      <c r="O10" s="44">
        <v>1158674</v>
      </c>
      <c r="P10" s="44"/>
      <c r="Q10" s="44">
        <v>67892</v>
      </c>
      <c r="R10" s="44"/>
      <c r="S10" s="44">
        <f>783551+513137</f>
        <v>1296688</v>
      </c>
      <c r="T10" s="44"/>
      <c r="U10" s="44">
        <v>-2172</v>
      </c>
      <c r="V10" s="44"/>
      <c r="W10" s="44">
        <f>SUM(I10:U10)</f>
        <v>9792703</v>
      </c>
      <c r="X10" s="44"/>
      <c r="Y10" s="44">
        <f>SUM(B10:V10)</f>
        <v>24359140</v>
      </c>
    </row>
    <row r="11" spans="1:25" ht="12.75" customHeight="1">
      <c r="A11" s="23" t="s">
        <v>13</v>
      </c>
      <c r="B11" s="23"/>
      <c r="C11" s="44">
        <v>10342637</v>
      </c>
      <c r="D11" s="44"/>
      <c r="E11" s="44">
        <v>31117288</v>
      </c>
      <c r="F11" s="44"/>
      <c r="G11" s="44">
        <v>408504</v>
      </c>
      <c r="H11" s="44"/>
      <c r="I11" s="44">
        <f>4420471+4390787+1910702</f>
        <v>10721960</v>
      </c>
      <c r="J11" s="44"/>
      <c r="K11" s="44">
        <v>14476311</v>
      </c>
      <c r="L11" s="44"/>
      <c r="M11" s="44">
        <v>0</v>
      </c>
      <c r="N11" s="44"/>
      <c r="O11" s="44">
        <v>5558456</v>
      </c>
      <c r="P11" s="44"/>
      <c r="Q11" s="44">
        <v>668490</v>
      </c>
      <c r="R11" s="44"/>
      <c r="S11" s="44">
        <f>4239302-160964</f>
        <v>4078338</v>
      </c>
      <c r="T11" s="44"/>
      <c r="U11" s="44">
        <v>220948</v>
      </c>
      <c r="V11" s="44"/>
      <c r="W11" s="44">
        <f>SUM(I11:U11)</f>
        <v>35724503</v>
      </c>
      <c r="X11" s="44"/>
      <c r="Y11" s="44">
        <f>SUM(B11:V11)</f>
        <v>77592932</v>
      </c>
    </row>
    <row r="12" spans="1:25" ht="12.75" customHeight="1">
      <c r="A12" s="23" t="s">
        <v>14</v>
      </c>
      <c r="B12" s="23"/>
      <c r="C12" s="24">
        <v>3562687</v>
      </c>
      <c r="D12" s="24"/>
      <c r="E12" s="24">
        <v>16315384</v>
      </c>
      <c r="F12" s="24"/>
      <c r="G12" s="24">
        <v>0</v>
      </c>
      <c r="H12" s="24"/>
      <c r="I12" s="24">
        <f>2267086+695295+3336333+498757</f>
        <v>6797471</v>
      </c>
      <c r="J12" s="24"/>
      <c r="K12" s="24">
        <f>5135970+900610+383200</f>
        <v>6419780</v>
      </c>
      <c r="L12" s="24"/>
      <c r="M12" s="24">
        <v>3338</v>
      </c>
      <c r="N12" s="24"/>
      <c r="O12" s="24">
        <v>2213043</v>
      </c>
      <c r="P12" s="24"/>
      <c r="Q12" s="24">
        <v>138903</v>
      </c>
      <c r="R12" s="24"/>
      <c r="S12" s="24">
        <f>24131+863505</f>
        <v>887636</v>
      </c>
      <c r="T12" s="24"/>
      <c r="U12" s="24">
        <v>0</v>
      </c>
      <c r="V12" s="24"/>
      <c r="W12" s="24">
        <f>SUM(I12:U12)</f>
        <v>16460171</v>
      </c>
      <c r="X12" s="24"/>
      <c r="Y12" s="24">
        <f aca="true" t="shared" si="0" ref="Y12:Y28">SUM(B12:V12)</f>
        <v>36338242</v>
      </c>
    </row>
    <row r="13" spans="1:25" ht="12.75" customHeight="1">
      <c r="A13" s="23" t="s">
        <v>15</v>
      </c>
      <c r="B13" s="23"/>
      <c r="C13" s="24">
        <v>12677906</v>
      </c>
      <c r="D13" s="24"/>
      <c r="E13" s="24">
        <v>43426725</v>
      </c>
      <c r="F13" s="24"/>
      <c r="G13" s="24">
        <v>1719767</v>
      </c>
      <c r="H13" s="24"/>
      <c r="I13" s="24">
        <f>3518914+6424952+3908280+150742+888230</f>
        <v>14891118</v>
      </c>
      <c r="J13" s="24"/>
      <c r="K13" s="24">
        <v>8956657</v>
      </c>
      <c r="L13" s="24"/>
      <c r="M13" s="24">
        <v>0</v>
      </c>
      <c r="N13" s="24"/>
      <c r="O13" s="24">
        <v>8026979</v>
      </c>
      <c r="P13" s="24"/>
      <c r="Q13" s="24">
        <v>547398</v>
      </c>
      <c r="R13" s="24"/>
      <c r="S13" s="24">
        <v>1620434</v>
      </c>
      <c r="T13" s="24"/>
      <c r="U13" s="24">
        <v>-1250834</v>
      </c>
      <c r="V13" s="24"/>
      <c r="W13" s="24">
        <f aca="true" t="shared" si="1" ref="W13:W76">SUM(I13:U13)</f>
        <v>32791752</v>
      </c>
      <c r="X13" s="24"/>
      <c r="Y13" s="24">
        <f t="shared" si="0"/>
        <v>90616150</v>
      </c>
    </row>
    <row r="14" spans="1:25" ht="12.75" customHeight="1" hidden="1">
      <c r="A14" s="23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f>SUM(I14:U14)</f>
        <v>0</v>
      </c>
      <c r="X14" s="24"/>
      <c r="Y14" s="24">
        <f t="shared" si="0"/>
        <v>0</v>
      </c>
    </row>
    <row r="15" spans="1:25" ht="12.75" customHeight="1">
      <c r="A15" s="23" t="s">
        <v>17</v>
      </c>
      <c r="B15" s="23"/>
      <c r="C15" s="24">
        <v>7144998</v>
      </c>
      <c r="D15" s="24"/>
      <c r="E15" s="24">
        <v>7496093</v>
      </c>
      <c r="F15" s="24"/>
      <c r="G15" s="24">
        <v>601779</v>
      </c>
      <c r="H15" s="24"/>
      <c r="I15" s="24">
        <f>1939981+3467479</f>
        <v>5407460</v>
      </c>
      <c r="J15" s="24"/>
      <c r="K15" s="24">
        <f>6670086+522685+600000</f>
        <v>7792771</v>
      </c>
      <c r="L15" s="24"/>
      <c r="M15" s="24">
        <v>0</v>
      </c>
      <c r="N15" s="24"/>
      <c r="O15" s="24">
        <v>788234</v>
      </c>
      <c r="P15" s="24"/>
      <c r="Q15" s="24">
        <v>210189</v>
      </c>
      <c r="R15" s="24"/>
      <c r="S15" s="24">
        <f>-135158+457793</f>
        <v>322635</v>
      </c>
      <c r="T15" s="24"/>
      <c r="U15" s="24">
        <v>0</v>
      </c>
      <c r="V15" s="24"/>
      <c r="W15" s="24">
        <f t="shared" si="1"/>
        <v>14521289</v>
      </c>
      <c r="X15" s="24"/>
      <c r="Y15" s="24">
        <f t="shared" si="0"/>
        <v>29764159</v>
      </c>
    </row>
    <row r="16" spans="1:25" ht="12.75" customHeight="1">
      <c r="A16" s="23" t="s">
        <v>18</v>
      </c>
      <c r="B16" s="23"/>
      <c r="C16" s="24">
        <v>7328623</v>
      </c>
      <c r="D16" s="24"/>
      <c r="E16" s="24">
        <v>18986025</v>
      </c>
      <c r="F16" s="24"/>
      <c r="G16" s="24">
        <v>1092759</v>
      </c>
      <c r="H16" s="24"/>
      <c r="I16" s="24">
        <f>2253213+4562621+806485+2824824+376951</f>
        <v>10824094</v>
      </c>
      <c r="J16" s="24"/>
      <c r="K16" s="24">
        <v>12057796</v>
      </c>
      <c r="L16" s="24"/>
      <c r="M16" s="24">
        <v>417250</v>
      </c>
      <c r="N16" s="24"/>
      <c r="O16" s="24">
        <v>560906</v>
      </c>
      <c r="P16" s="24"/>
      <c r="Q16" s="24">
        <v>652414</v>
      </c>
      <c r="R16" s="24"/>
      <c r="S16" s="24">
        <f>112751+338252+84563+140938+56375+792903</f>
        <v>1525782</v>
      </c>
      <c r="T16" s="24"/>
      <c r="U16" s="24">
        <v>-224575</v>
      </c>
      <c r="V16" s="24"/>
      <c r="W16" s="24">
        <f t="shared" si="1"/>
        <v>25813667</v>
      </c>
      <c r="X16" s="24"/>
      <c r="Y16" s="24">
        <f t="shared" si="0"/>
        <v>53221074</v>
      </c>
    </row>
    <row r="17" spans="1:25" ht="12.75" customHeight="1" hidden="1">
      <c r="A17" s="23" t="s">
        <v>238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f t="shared" si="1"/>
        <v>0</v>
      </c>
      <c r="X17" s="24"/>
      <c r="Y17" s="24">
        <f t="shared" si="0"/>
        <v>0</v>
      </c>
    </row>
    <row r="18" spans="1:25" ht="12.75" customHeight="1">
      <c r="A18" s="23" t="s">
        <v>236</v>
      </c>
      <c r="B18" s="23"/>
      <c r="C18" s="24">
        <v>43543806</v>
      </c>
      <c r="D18" s="24"/>
      <c r="E18" s="24">
        <v>94075696</v>
      </c>
      <c r="F18" s="24"/>
      <c r="G18" s="24">
        <v>8917202</v>
      </c>
      <c r="H18" s="24"/>
      <c r="I18" s="24">
        <f>13087764+17754189+13540033+8540022+8851206</f>
        <v>61773214</v>
      </c>
      <c r="J18" s="24"/>
      <c r="K18" s="24">
        <v>30779103</v>
      </c>
      <c r="L18" s="24"/>
      <c r="M18" s="24">
        <v>2476974</v>
      </c>
      <c r="N18" s="24"/>
      <c r="O18" s="24">
        <v>7432464</v>
      </c>
      <c r="P18" s="24"/>
      <c r="Q18" s="24">
        <v>2889678</v>
      </c>
      <c r="R18" s="24"/>
      <c r="S18" s="24">
        <f>9911360+2197703</f>
        <v>12109063</v>
      </c>
      <c r="T18" s="24"/>
      <c r="U18" s="24">
        <v>0</v>
      </c>
      <c r="V18" s="24"/>
      <c r="W18" s="24">
        <f t="shared" si="1"/>
        <v>117460496</v>
      </c>
      <c r="X18" s="24"/>
      <c r="Y18" s="24">
        <f t="shared" si="0"/>
        <v>263997200</v>
      </c>
    </row>
    <row r="19" spans="1:25" ht="12.75" customHeight="1">
      <c r="A19" s="23" t="s">
        <v>20</v>
      </c>
      <c r="B19" s="23"/>
      <c r="C19" s="24">
        <v>4250831</v>
      </c>
      <c r="D19" s="24"/>
      <c r="E19" s="24">
        <v>10078177</v>
      </c>
      <c r="F19" s="24"/>
      <c r="G19" s="24">
        <v>704173</v>
      </c>
      <c r="H19" s="24"/>
      <c r="I19" s="24">
        <f>1544641+1468231+595154+168280</f>
        <v>3776306</v>
      </c>
      <c r="J19" s="24"/>
      <c r="K19" s="24">
        <v>2252403</v>
      </c>
      <c r="L19" s="24"/>
      <c r="M19" s="24">
        <v>0</v>
      </c>
      <c r="N19" s="24"/>
      <c r="O19" s="24">
        <v>1171019</v>
      </c>
      <c r="P19" s="24"/>
      <c r="Q19" s="24">
        <v>48564</v>
      </c>
      <c r="R19" s="24"/>
      <c r="S19" s="24">
        <f>87789+340732</f>
        <v>428521</v>
      </c>
      <c r="T19" s="24"/>
      <c r="U19" s="24">
        <v>0</v>
      </c>
      <c r="V19" s="24"/>
      <c r="W19" s="24">
        <f t="shared" si="1"/>
        <v>7676813</v>
      </c>
      <c r="X19" s="24"/>
      <c r="Y19" s="24">
        <f t="shared" si="0"/>
        <v>22709994</v>
      </c>
    </row>
    <row r="20" spans="1:25" ht="12.75" customHeight="1" hidden="1">
      <c r="A20" s="23" t="s">
        <v>172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f t="shared" si="1"/>
        <v>0</v>
      </c>
      <c r="X20" s="24"/>
      <c r="Y20" s="24">
        <f t="shared" si="0"/>
        <v>0</v>
      </c>
    </row>
    <row r="21" spans="1:25" ht="12.75" customHeight="1">
      <c r="A21" s="23" t="s">
        <v>21</v>
      </c>
      <c r="B21" s="23"/>
      <c r="C21" s="24">
        <v>16262703</v>
      </c>
      <c r="D21" s="24"/>
      <c r="E21" s="24">
        <v>45743356</v>
      </c>
      <c r="F21" s="24"/>
      <c r="G21" s="24">
        <v>2422095</v>
      </c>
      <c r="H21" s="24"/>
      <c r="I21" s="24">
        <f>3672389+2280820+9725540+1895233</f>
        <v>17573982</v>
      </c>
      <c r="J21" s="24"/>
      <c r="K21" s="24">
        <v>20374885</v>
      </c>
      <c r="L21" s="24"/>
      <c r="M21" s="24">
        <v>0</v>
      </c>
      <c r="N21" s="24"/>
      <c r="O21" s="24">
        <v>4608002</v>
      </c>
      <c r="P21" s="24"/>
      <c r="Q21" s="24">
        <v>1088538</v>
      </c>
      <c r="R21" s="24"/>
      <c r="S21" s="24">
        <v>2433213</v>
      </c>
      <c r="T21" s="24"/>
      <c r="U21" s="24">
        <v>0</v>
      </c>
      <c r="V21" s="24"/>
      <c r="W21" s="24">
        <f t="shared" si="1"/>
        <v>46078620</v>
      </c>
      <c r="X21" s="24"/>
      <c r="Y21" s="24">
        <f t="shared" si="0"/>
        <v>110506774</v>
      </c>
    </row>
    <row r="22" spans="1:25" ht="12.75" customHeight="1">
      <c r="A22" s="23" t="s">
        <v>180</v>
      </c>
      <c r="B22" s="23"/>
      <c r="C22" s="24">
        <v>25757296</v>
      </c>
      <c r="D22" s="24"/>
      <c r="E22" s="24">
        <v>28210731</v>
      </c>
      <c r="F22" s="24"/>
      <c r="G22" s="24">
        <v>16091163</v>
      </c>
      <c r="H22" s="24"/>
      <c r="I22" s="24">
        <f>8296856+8623432+3938033</f>
        <v>20858321</v>
      </c>
      <c r="J22" s="24"/>
      <c r="K22" s="24">
        <v>20804703</v>
      </c>
      <c r="L22" s="24"/>
      <c r="M22" s="24">
        <v>485184</v>
      </c>
      <c r="N22" s="24"/>
      <c r="O22" s="24">
        <v>5798961</v>
      </c>
      <c r="P22" s="24"/>
      <c r="Q22" s="24">
        <v>1592644</v>
      </c>
      <c r="R22" s="24"/>
      <c r="S22" s="24">
        <v>157423</v>
      </c>
      <c r="T22" s="24"/>
      <c r="U22" s="24">
        <v>-5030000</v>
      </c>
      <c r="V22" s="24"/>
      <c r="W22" s="24">
        <f t="shared" si="1"/>
        <v>44667236</v>
      </c>
      <c r="X22" s="24"/>
      <c r="Y22" s="24">
        <f t="shared" si="0"/>
        <v>114726426</v>
      </c>
    </row>
    <row r="23" spans="1:25" ht="12.75" customHeight="1">
      <c r="A23" s="23" t="s">
        <v>22</v>
      </c>
      <c r="B23" s="23"/>
      <c r="C23" s="24">
        <v>3854703</v>
      </c>
      <c r="D23" s="24"/>
      <c r="E23" s="24">
        <v>11767491</v>
      </c>
      <c r="F23" s="24"/>
      <c r="G23" s="24">
        <v>447092</v>
      </c>
      <c r="H23" s="24"/>
      <c r="I23" s="24">
        <f>1820752+595317+79678+3206657+1180111+279885+232116+63867+2288</f>
        <v>7460671</v>
      </c>
      <c r="J23" s="24"/>
      <c r="K23" s="24">
        <v>7335234</v>
      </c>
      <c r="L23" s="24"/>
      <c r="M23" s="24">
        <v>0</v>
      </c>
      <c r="N23" s="24"/>
      <c r="O23" s="24">
        <v>1584769</v>
      </c>
      <c r="P23" s="24"/>
      <c r="Q23" s="24">
        <v>471812</v>
      </c>
      <c r="R23" s="24"/>
      <c r="S23" s="24">
        <v>1372748</v>
      </c>
      <c r="T23" s="24"/>
      <c r="U23" s="24">
        <f>214046+1075988</f>
        <v>1290034</v>
      </c>
      <c r="V23" s="24"/>
      <c r="W23" s="24">
        <f t="shared" si="1"/>
        <v>19515268</v>
      </c>
      <c r="X23" s="24"/>
      <c r="Y23" s="24">
        <f t="shared" si="0"/>
        <v>35584554</v>
      </c>
    </row>
    <row r="24" spans="1:25" ht="12.75" customHeight="1" hidden="1">
      <c r="A24" s="23" t="s">
        <v>23</v>
      </c>
      <c r="B24" s="23"/>
      <c r="C24" s="24">
        <v>8084078</v>
      </c>
      <c r="D24" s="24"/>
      <c r="E24" s="24">
        <v>37107103</v>
      </c>
      <c r="F24" s="24"/>
      <c r="G24" s="24">
        <v>4274309</v>
      </c>
      <c r="H24" s="24"/>
      <c r="I24" s="24">
        <f>6712953+1835629+274357</f>
        <v>8822939</v>
      </c>
      <c r="J24" s="24"/>
      <c r="K24" s="24">
        <v>13185196</v>
      </c>
      <c r="L24" s="24"/>
      <c r="M24" s="24"/>
      <c r="N24" s="24"/>
      <c r="O24" s="24">
        <v>2358762</v>
      </c>
      <c r="P24" s="24"/>
      <c r="Q24" s="24">
        <v>501421</v>
      </c>
      <c r="R24" s="24"/>
      <c r="S24" s="24">
        <v>876281</v>
      </c>
      <c r="T24" s="24"/>
      <c r="U24" s="24"/>
      <c r="V24" s="24"/>
      <c r="W24" s="24">
        <f t="shared" si="1"/>
        <v>25744599</v>
      </c>
      <c r="X24" s="24"/>
      <c r="Y24" s="24">
        <f t="shared" si="0"/>
        <v>75210089</v>
      </c>
    </row>
    <row r="25" spans="1:25" ht="12.75" customHeight="1">
      <c r="A25" s="23" t="s">
        <v>24</v>
      </c>
      <c r="B25" s="23"/>
      <c r="C25" s="24">
        <v>6285970</v>
      </c>
      <c r="D25" s="24"/>
      <c r="E25" s="24">
        <v>13244791</v>
      </c>
      <c r="F25" s="24"/>
      <c r="G25" s="24">
        <v>1340016</v>
      </c>
      <c r="H25" s="24"/>
      <c r="I25" s="24">
        <f>1442646+2700247+860226+1311916+196923</f>
        <v>6511958</v>
      </c>
      <c r="J25" s="24"/>
      <c r="K25" s="24">
        <v>4910827</v>
      </c>
      <c r="L25" s="24"/>
      <c r="M25" s="24">
        <v>0</v>
      </c>
      <c r="N25" s="24"/>
      <c r="O25" s="24">
        <v>2999132</v>
      </c>
      <c r="P25" s="24"/>
      <c r="Q25" s="24">
        <v>132836</v>
      </c>
      <c r="R25" s="24"/>
      <c r="S25" s="24">
        <f>4707+517570</f>
        <v>522277</v>
      </c>
      <c r="T25" s="24"/>
      <c r="U25" s="24">
        <v>0</v>
      </c>
      <c r="V25" s="24"/>
      <c r="W25" s="24">
        <f t="shared" si="1"/>
        <v>15077030</v>
      </c>
      <c r="X25" s="24"/>
      <c r="Y25" s="24">
        <f t="shared" si="0"/>
        <v>35947807</v>
      </c>
    </row>
    <row r="26" spans="1:25" ht="12.75" customHeight="1">
      <c r="A26" s="23" t="s">
        <v>241</v>
      </c>
      <c r="B26" s="23"/>
      <c r="C26" s="24">
        <v>13918238</v>
      </c>
      <c r="D26" s="24"/>
      <c r="E26" s="24">
        <v>12722777</v>
      </c>
      <c r="F26" s="24"/>
      <c r="G26" s="24">
        <v>541700</v>
      </c>
      <c r="H26" s="24"/>
      <c r="I26" s="24">
        <f>1379673+1349190+2658218+185855+451457+444357</f>
        <v>6468750</v>
      </c>
      <c r="J26" s="24"/>
      <c r="K26" s="24">
        <f>3274582+1292162+343736</f>
        <v>4910480</v>
      </c>
      <c r="L26" s="24"/>
      <c r="M26" s="24">
        <v>0</v>
      </c>
      <c r="N26" s="24"/>
      <c r="O26" s="24">
        <v>1464173</v>
      </c>
      <c r="P26" s="24"/>
      <c r="Q26" s="24">
        <v>197143</v>
      </c>
      <c r="R26" s="24"/>
      <c r="S26" s="24">
        <v>1254884</v>
      </c>
      <c r="T26" s="24"/>
      <c r="U26" s="24">
        <v>0</v>
      </c>
      <c r="V26" s="24"/>
      <c r="W26" s="24">
        <f t="shared" si="1"/>
        <v>14295430</v>
      </c>
      <c r="X26" s="24"/>
      <c r="Y26" s="24">
        <f t="shared" si="0"/>
        <v>41478145</v>
      </c>
    </row>
    <row r="27" spans="1:25" ht="12.75" customHeight="1" hidden="1">
      <c r="A27" s="23" t="s">
        <v>25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>
        <f t="shared" si="1"/>
        <v>0</v>
      </c>
      <c r="X27" s="24"/>
      <c r="Y27" s="24">
        <f t="shared" si="0"/>
        <v>0</v>
      </c>
    </row>
    <row r="28" spans="1:25" ht="12.75" customHeight="1" hidden="1">
      <c r="A28" s="23" t="s">
        <v>26</v>
      </c>
      <c r="B28" s="23"/>
      <c r="C28" s="24">
        <v>7562072</v>
      </c>
      <c r="D28" s="24"/>
      <c r="E28" s="24">
        <v>15011029</v>
      </c>
      <c r="F28" s="24"/>
      <c r="G28" s="24">
        <v>7579</v>
      </c>
      <c r="H28" s="24"/>
      <c r="I28" s="24">
        <f>2473342+2454550</f>
        <v>4927892</v>
      </c>
      <c r="J28" s="24"/>
      <c r="K28" s="24">
        <v>6761750</v>
      </c>
      <c r="L28" s="24"/>
      <c r="M28" s="24"/>
      <c r="N28" s="24"/>
      <c r="O28" s="24">
        <v>1809710</v>
      </c>
      <c r="P28" s="24"/>
      <c r="Q28" s="24">
        <v>201737</v>
      </c>
      <c r="R28" s="24"/>
      <c r="S28" s="24">
        <f>158888+732000+436+327051</f>
        <v>1218375</v>
      </c>
      <c r="T28" s="24"/>
      <c r="U28" s="24">
        <v>17994</v>
      </c>
      <c r="V28" s="24"/>
      <c r="W28" s="24">
        <f t="shared" si="1"/>
        <v>14937458</v>
      </c>
      <c r="X28" s="24"/>
      <c r="Y28" s="24">
        <f t="shared" si="0"/>
        <v>37518138</v>
      </c>
    </row>
    <row r="29" spans="1:25" ht="12.75" customHeight="1">
      <c r="A29" s="23" t="s">
        <v>27</v>
      </c>
      <c r="B29" s="23"/>
      <c r="C29" s="24">
        <v>3902225</v>
      </c>
      <c r="D29" s="24"/>
      <c r="E29" s="130">
        <v>10436920</v>
      </c>
      <c r="F29" s="24"/>
      <c r="G29" s="24">
        <v>5533192</v>
      </c>
      <c r="H29" s="24"/>
      <c r="I29" s="24">
        <f>1593342+576160+1790067+502030</f>
        <v>4461599</v>
      </c>
      <c r="J29" s="24"/>
      <c r="K29" s="24">
        <v>5455541</v>
      </c>
      <c r="L29" s="24"/>
      <c r="M29" s="24">
        <v>0</v>
      </c>
      <c r="N29" s="24"/>
      <c r="O29" s="24">
        <v>2170876</v>
      </c>
      <c r="P29" s="24"/>
      <c r="Q29" s="24">
        <v>473293</v>
      </c>
      <c r="R29" s="24"/>
      <c r="S29" s="24">
        <f>875314+80000</f>
        <v>955314</v>
      </c>
      <c r="T29" s="24"/>
      <c r="U29" s="24">
        <v>-3276439</v>
      </c>
      <c r="V29" s="24"/>
      <c r="W29" s="24">
        <f t="shared" si="1"/>
        <v>10240184</v>
      </c>
      <c r="X29" s="24"/>
      <c r="Y29" s="24">
        <f aca="true" t="shared" si="2" ref="Y29:Y93">SUM(B29:V29)</f>
        <v>30112521</v>
      </c>
    </row>
    <row r="30" spans="1:25" ht="12.75" customHeight="1">
      <c r="A30" s="23" t="s">
        <v>28</v>
      </c>
      <c r="B30" s="23"/>
      <c r="C30" s="24">
        <v>20792539</v>
      </c>
      <c r="D30" s="24"/>
      <c r="E30" s="24">
        <v>21055743</v>
      </c>
      <c r="F30" s="24"/>
      <c r="G30" s="24">
        <v>0</v>
      </c>
      <c r="H30" s="24"/>
      <c r="I30" s="24">
        <f>10057588+2202495+11696582+838140+558743</f>
        <v>25353548</v>
      </c>
      <c r="J30" s="24"/>
      <c r="K30" s="24">
        <v>42314886</v>
      </c>
      <c r="L30" s="24"/>
      <c r="M30" s="24">
        <v>0</v>
      </c>
      <c r="N30" s="24"/>
      <c r="O30" s="24">
        <v>3752464</v>
      </c>
      <c r="P30" s="24"/>
      <c r="Q30" s="24">
        <v>2223044</v>
      </c>
      <c r="R30" s="24"/>
      <c r="S30" s="24">
        <f>384860+1538500</f>
        <v>1923360</v>
      </c>
      <c r="T30" s="24"/>
      <c r="U30" s="24">
        <v>-50000</v>
      </c>
      <c r="V30" s="24"/>
      <c r="W30" s="24">
        <f t="shared" si="1"/>
        <v>75517302</v>
      </c>
      <c r="X30" s="24"/>
      <c r="Y30" s="24">
        <f t="shared" si="2"/>
        <v>117365584</v>
      </c>
    </row>
    <row r="31" spans="1:25" ht="12.75" customHeight="1">
      <c r="A31" s="23" t="s">
        <v>29</v>
      </c>
      <c r="B31" s="23"/>
      <c r="C31" s="24">
        <v>11175677</v>
      </c>
      <c r="D31" s="24"/>
      <c r="E31" s="24">
        <v>18977431</v>
      </c>
      <c r="F31" s="24"/>
      <c r="G31" s="24">
        <v>870873</v>
      </c>
      <c r="H31" s="24"/>
      <c r="I31" s="24">
        <f>4218414+4334210+835402</f>
        <v>9388026</v>
      </c>
      <c r="J31" s="24"/>
      <c r="K31" s="24">
        <v>13483885</v>
      </c>
      <c r="L31" s="24"/>
      <c r="M31" s="24">
        <v>0</v>
      </c>
      <c r="N31" s="24"/>
      <c r="O31" s="24">
        <v>3002294</v>
      </c>
      <c r="P31" s="24"/>
      <c r="Q31" s="24">
        <v>646395</v>
      </c>
      <c r="R31" s="24"/>
      <c r="S31" s="24">
        <f>1538286+1731021</f>
        <v>3269307</v>
      </c>
      <c r="T31" s="24"/>
      <c r="U31" s="24">
        <v>10351</v>
      </c>
      <c r="V31" s="24"/>
      <c r="W31" s="24">
        <f t="shared" si="1"/>
        <v>29800258</v>
      </c>
      <c r="X31" s="24"/>
      <c r="Y31" s="24">
        <f t="shared" si="2"/>
        <v>60824239</v>
      </c>
    </row>
    <row r="32" spans="1:27" ht="12.75" customHeight="1">
      <c r="A32" s="23" t="s">
        <v>30</v>
      </c>
      <c r="B32" s="23"/>
      <c r="C32" s="24">
        <v>17994477</v>
      </c>
      <c r="D32" s="24"/>
      <c r="E32" s="24">
        <v>34583778</v>
      </c>
      <c r="F32" s="24"/>
      <c r="G32" s="24">
        <v>1583061</v>
      </c>
      <c r="H32" s="24"/>
      <c r="I32" s="24">
        <f>7445374+1252904+9787653+4297937</f>
        <v>22783868</v>
      </c>
      <c r="J32" s="24"/>
      <c r="K32" s="24">
        <v>16874160</v>
      </c>
      <c r="L32" s="24"/>
      <c r="M32" s="24">
        <f>1104112+153746</f>
        <v>1257858</v>
      </c>
      <c r="N32" s="24"/>
      <c r="O32" s="24">
        <v>3078536</v>
      </c>
      <c r="P32" s="24"/>
      <c r="Q32" s="24">
        <v>473819</v>
      </c>
      <c r="R32" s="24"/>
      <c r="S32" s="24">
        <v>901639</v>
      </c>
      <c r="T32" s="24"/>
      <c r="U32" s="24">
        <v>-148237</v>
      </c>
      <c r="V32" s="24"/>
      <c r="W32" s="24">
        <f t="shared" si="1"/>
        <v>45221643</v>
      </c>
      <c r="X32" s="24"/>
      <c r="Y32" s="24">
        <f t="shared" si="2"/>
        <v>99382959</v>
      </c>
      <c r="AA32" s="39"/>
    </row>
    <row r="33" spans="1:25" ht="12.75" customHeight="1" hidden="1">
      <c r="A33" s="23" t="s">
        <v>237</v>
      </c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>
        <f t="shared" si="1"/>
        <v>0</v>
      </c>
      <c r="X33" s="24"/>
      <c r="Y33" s="24">
        <f t="shared" si="2"/>
        <v>0</v>
      </c>
    </row>
    <row r="34" spans="1:25" ht="12.75" customHeight="1">
      <c r="A34" s="23" t="s">
        <v>32</v>
      </c>
      <c r="B34" s="23"/>
      <c r="C34" s="24">
        <v>123374000</v>
      </c>
      <c r="D34" s="24"/>
      <c r="E34" s="24">
        <v>305635000</v>
      </c>
      <c r="F34" s="24"/>
      <c r="G34" s="24">
        <v>24152000</v>
      </c>
      <c r="H34" s="24"/>
      <c r="I34" s="24">
        <v>403171000</v>
      </c>
      <c r="J34" s="24"/>
      <c r="K34" s="24">
        <v>138479000</v>
      </c>
      <c r="L34" s="24"/>
      <c r="M34" s="24">
        <v>0</v>
      </c>
      <c r="N34" s="24"/>
      <c r="O34" s="24">
        <v>45933000</v>
      </c>
      <c r="P34" s="24"/>
      <c r="Q34" s="24">
        <v>13555000</v>
      </c>
      <c r="R34" s="24"/>
      <c r="S34" s="24">
        <v>0</v>
      </c>
      <c r="T34" s="24"/>
      <c r="U34" s="24">
        <v>52000</v>
      </c>
      <c r="V34" s="24"/>
      <c r="W34" s="24">
        <f t="shared" si="1"/>
        <v>601190000</v>
      </c>
      <c r="X34" s="24"/>
      <c r="Y34" s="24">
        <f>SUM(B34:V34)</f>
        <v>1054351000</v>
      </c>
    </row>
    <row r="35" spans="1:25" ht="12.75" customHeight="1">
      <c r="A35" s="23" t="s">
        <v>33</v>
      </c>
      <c r="B35" s="23"/>
      <c r="C35" s="24">
        <v>7225544</v>
      </c>
      <c r="D35" s="24"/>
      <c r="E35" s="24">
        <v>10844209</v>
      </c>
      <c r="F35" s="24"/>
      <c r="G35" s="24">
        <v>847131</v>
      </c>
      <c r="H35" s="24"/>
      <c r="I35" s="24">
        <f>1539610+2721238+783643+991552+117999+516791</f>
        <v>6670833</v>
      </c>
      <c r="J35" s="24"/>
      <c r="K35" s="24">
        <v>7338349</v>
      </c>
      <c r="L35" s="24"/>
      <c r="M35" s="24">
        <v>0</v>
      </c>
      <c r="N35" s="24"/>
      <c r="O35" s="24">
        <v>2790009</v>
      </c>
      <c r="P35" s="24"/>
      <c r="Q35" s="24">
        <v>495498</v>
      </c>
      <c r="R35" s="24"/>
      <c r="S35" s="24">
        <v>1300958</v>
      </c>
      <c r="T35" s="24"/>
      <c r="U35" s="24">
        <v>0</v>
      </c>
      <c r="V35" s="24"/>
      <c r="W35" s="24">
        <f t="shared" si="1"/>
        <v>18595647</v>
      </c>
      <c r="X35" s="24"/>
      <c r="Y35" s="24">
        <f>SUM(B35:V35)</f>
        <v>37512531</v>
      </c>
    </row>
    <row r="36" spans="1:25" ht="12.75" customHeight="1">
      <c r="A36" s="23" t="s">
        <v>34</v>
      </c>
      <c r="B36" s="23"/>
      <c r="C36" s="24">
        <v>5407558</v>
      </c>
      <c r="D36" s="24"/>
      <c r="E36" s="24">
        <v>13739639</v>
      </c>
      <c r="F36" s="24"/>
      <c r="G36" s="24">
        <v>3716029</v>
      </c>
      <c r="H36" s="24"/>
      <c r="I36" s="24">
        <f>2300873+1035246</f>
        <v>3336119</v>
      </c>
      <c r="J36" s="24"/>
      <c r="K36" s="24">
        <f>3757089+906086</f>
        <v>4663175</v>
      </c>
      <c r="L36" s="24"/>
      <c r="M36" s="24">
        <v>0</v>
      </c>
      <c r="N36" s="24"/>
      <c r="O36" s="24">
        <v>1022827</v>
      </c>
      <c r="P36" s="24"/>
      <c r="Q36" s="24">
        <v>267110</v>
      </c>
      <c r="R36" s="24"/>
      <c r="S36" s="24">
        <f>87898+480431</f>
        <v>568329</v>
      </c>
      <c r="T36" s="24"/>
      <c r="U36" s="24">
        <v>-36625</v>
      </c>
      <c r="V36" s="24"/>
      <c r="W36" s="24">
        <f t="shared" si="1"/>
        <v>9820935</v>
      </c>
      <c r="X36" s="24"/>
      <c r="Y36" s="24">
        <f t="shared" si="2"/>
        <v>32684161</v>
      </c>
    </row>
    <row r="37" spans="1:25" ht="12.75" customHeight="1">
      <c r="A37" s="23" t="s">
        <v>35</v>
      </c>
      <c r="B37" s="23"/>
      <c r="C37" s="24">
        <v>8372860</v>
      </c>
      <c r="D37" s="24"/>
      <c r="E37" s="24">
        <v>28010905</v>
      </c>
      <c r="F37" s="24"/>
      <c r="G37" s="24">
        <v>2142773</v>
      </c>
      <c r="H37" s="24"/>
      <c r="I37" s="24">
        <f>7670224+2667375+1682611+3200876+7923814+2713547</f>
        <v>25858447</v>
      </c>
      <c r="J37" s="24"/>
      <c r="K37" s="24">
        <f>10774951+643000</f>
        <v>11417951</v>
      </c>
      <c r="L37" s="24"/>
      <c r="M37" s="24">
        <v>0</v>
      </c>
      <c r="N37" s="24"/>
      <c r="O37" s="24">
        <v>2441196</v>
      </c>
      <c r="P37" s="24"/>
      <c r="Q37" s="24">
        <v>690450</v>
      </c>
      <c r="R37" s="24"/>
      <c r="S37" s="24">
        <v>2237595</v>
      </c>
      <c r="T37" s="24"/>
      <c r="U37" s="24">
        <v>-45066</v>
      </c>
      <c r="V37" s="24"/>
      <c r="W37" s="24">
        <f t="shared" si="1"/>
        <v>42600573</v>
      </c>
      <c r="X37" s="24"/>
      <c r="Y37" s="24">
        <f t="shared" si="2"/>
        <v>81127111</v>
      </c>
    </row>
    <row r="38" spans="1:25" ht="12.75" customHeight="1">
      <c r="A38" s="23" t="s">
        <v>181</v>
      </c>
      <c r="B38" s="23"/>
      <c r="C38" s="24">
        <v>20482360</v>
      </c>
      <c r="D38" s="24"/>
      <c r="E38" s="24">
        <v>31269857</v>
      </c>
      <c r="F38" s="24"/>
      <c r="G38" s="24">
        <v>767938</v>
      </c>
      <c r="H38" s="24"/>
      <c r="I38" s="24">
        <f>7959255+785988+3800307+5125439+10464321+2993535+3416961+542829</f>
        <v>35088635</v>
      </c>
      <c r="J38" s="24"/>
      <c r="K38" s="153">
        <v>22005853</v>
      </c>
      <c r="L38" s="24"/>
      <c r="M38" s="24">
        <v>933739</v>
      </c>
      <c r="N38" s="24"/>
      <c r="O38" s="24">
        <v>4504217</v>
      </c>
      <c r="P38" s="24"/>
      <c r="Q38" s="24">
        <v>2332405</v>
      </c>
      <c r="R38" s="24"/>
      <c r="S38" s="24">
        <v>2379282</v>
      </c>
      <c r="T38" s="24"/>
      <c r="U38" s="24">
        <v>-25725</v>
      </c>
      <c r="V38" s="24"/>
      <c r="W38" s="24">
        <f t="shared" si="1"/>
        <v>67218406</v>
      </c>
      <c r="X38" s="24"/>
      <c r="Y38" s="24">
        <f t="shared" si="2"/>
        <v>119738561</v>
      </c>
    </row>
    <row r="39" spans="1:25" ht="12.75" customHeight="1" hidden="1">
      <c r="A39" s="23" t="s">
        <v>242</v>
      </c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f t="shared" si="1"/>
        <v>0</v>
      </c>
      <c r="X39" s="24"/>
      <c r="Y39" s="24">
        <f t="shared" si="2"/>
        <v>0</v>
      </c>
    </row>
    <row r="40" spans="1:25" ht="12.75" customHeight="1" hidden="1">
      <c r="A40" s="23" t="s">
        <v>37</v>
      </c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f t="shared" si="1"/>
        <v>0</v>
      </c>
      <c r="X40" s="24"/>
      <c r="Y40" s="24">
        <f t="shared" si="2"/>
        <v>0</v>
      </c>
    </row>
    <row r="41" spans="1:25" ht="12.75" customHeight="1">
      <c r="A41" s="23" t="s">
        <v>38</v>
      </c>
      <c r="B41" s="23"/>
      <c r="C41" s="24">
        <v>7701507</v>
      </c>
      <c r="D41" s="24"/>
      <c r="E41" s="24">
        <v>25453629</v>
      </c>
      <c r="F41" s="24"/>
      <c r="G41" s="24">
        <v>833784</v>
      </c>
      <c r="H41" s="24"/>
      <c r="I41" s="24">
        <f>1748203+1701001+5568835+785078+273244</f>
        <v>10076361</v>
      </c>
      <c r="J41" s="24"/>
      <c r="K41" s="24">
        <v>13052962</v>
      </c>
      <c r="L41" s="24"/>
      <c r="M41" s="24">
        <v>281109</v>
      </c>
      <c r="N41" s="24"/>
      <c r="O41" s="24">
        <v>2540206</v>
      </c>
      <c r="P41" s="24"/>
      <c r="Q41" s="24">
        <v>394368</v>
      </c>
      <c r="R41" s="24"/>
      <c r="S41" s="24">
        <v>573689</v>
      </c>
      <c r="T41" s="24"/>
      <c r="U41" s="24">
        <v>0</v>
      </c>
      <c r="V41" s="24"/>
      <c r="W41" s="24">
        <f t="shared" si="1"/>
        <v>26918695</v>
      </c>
      <c r="X41" s="24"/>
      <c r="Y41" s="24">
        <f t="shared" si="2"/>
        <v>60907615</v>
      </c>
    </row>
    <row r="42" spans="1:25" ht="12.75" customHeight="1" hidden="1">
      <c r="A42" s="23" t="s">
        <v>167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>
        <f t="shared" si="1"/>
        <v>0</v>
      </c>
      <c r="X42" s="24"/>
      <c r="Y42" s="24">
        <f t="shared" si="2"/>
        <v>0</v>
      </c>
    </row>
    <row r="43" spans="1:25" ht="12.75" customHeight="1" hidden="1">
      <c r="A43" s="23" t="s">
        <v>39</v>
      </c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f t="shared" si="1"/>
        <v>0</v>
      </c>
      <c r="X43" s="24"/>
      <c r="Y43" s="24">
        <f t="shared" si="2"/>
        <v>0</v>
      </c>
    </row>
    <row r="44" spans="1:25" ht="12.75" customHeight="1">
      <c r="A44" s="23" t="s">
        <v>40</v>
      </c>
      <c r="B44" s="23"/>
      <c r="C44" s="24">
        <v>3622043</v>
      </c>
      <c r="D44" s="24"/>
      <c r="E44" s="24">
        <v>10790106</v>
      </c>
      <c r="F44" s="24"/>
      <c r="G44" s="24">
        <v>907332</v>
      </c>
      <c r="H44" s="24"/>
      <c r="I44" s="24">
        <f>1617952+2879174+414423+872742</f>
        <v>5784291</v>
      </c>
      <c r="J44" s="24"/>
      <c r="K44" s="24">
        <v>4015220</v>
      </c>
      <c r="L44" s="24"/>
      <c r="M44" s="24">
        <v>0</v>
      </c>
      <c r="N44" s="24"/>
      <c r="O44" s="24">
        <v>2365752</v>
      </c>
      <c r="P44" s="24"/>
      <c r="Q44" s="24">
        <v>166352</v>
      </c>
      <c r="R44" s="24"/>
      <c r="S44" s="24">
        <v>1568340</v>
      </c>
      <c r="T44" s="24"/>
      <c r="U44" s="24">
        <v>0</v>
      </c>
      <c r="V44" s="24"/>
      <c r="W44" s="24">
        <f t="shared" si="1"/>
        <v>13899955</v>
      </c>
      <c r="X44" s="24"/>
      <c r="Y44" s="24">
        <f t="shared" si="2"/>
        <v>29219436</v>
      </c>
    </row>
    <row r="45" spans="1:26" ht="12.75" customHeight="1" hidden="1">
      <c r="A45" s="23" t="s">
        <v>41</v>
      </c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f t="shared" si="1"/>
        <v>0</v>
      </c>
      <c r="X45" s="24"/>
      <c r="Y45" s="24">
        <f t="shared" si="2"/>
        <v>0</v>
      </c>
      <c r="Z45" s="39"/>
    </row>
    <row r="46" spans="1:25" ht="12.75" customHeight="1">
      <c r="A46" s="23" t="s">
        <v>42</v>
      </c>
      <c r="B46" s="23"/>
      <c r="C46" s="24">
        <v>3293726</v>
      </c>
      <c r="D46" s="143"/>
      <c r="E46" s="24">
        <v>11524675</v>
      </c>
      <c r="F46" s="143"/>
      <c r="G46" s="24">
        <v>435377</v>
      </c>
      <c r="H46" s="143"/>
      <c r="I46" s="24">
        <f>1802548+3401347</f>
        <v>5203895</v>
      </c>
      <c r="J46" s="143"/>
      <c r="K46" s="24">
        <f>2453566+613289</f>
        <v>3066855</v>
      </c>
      <c r="L46" s="143"/>
      <c r="M46" s="24">
        <v>778720</v>
      </c>
      <c r="N46" s="143"/>
      <c r="O46" s="24">
        <v>1120243</v>
      </c>
      <c r="P46" s="143"/>
      <c r="Q46" s="24">
        <v>244180</v>
      </c>
      <c r="R46" s="143"/>
      <c r="S46" s="24">
        <v>924730</v>
      </c>
      <c r="T46" s="143"/>
      <c r="U46" s="24">
        <v>0</v>
      </c>
      <c r="V46" s="143"/>
      <c r="W46" s="143">
        <f t="shared" si="1"/>
        <v>11338623</v>
      </c>
      <c r="X46" s="143"/>
      <c r="Y46" s="143">
        <f t="shared" si="2"/>
        <v>26592401</v>
      </c>
    </row>
    <row r="47" spans="1:25" ht="12.75" customHeight="1">
      <c r="A47" s="23" t="s">
        <v>43</v>
      </c>
      <c r="B47" s="23"/>
      <c r="C47" s="24">
        <v>6015879</v>
      </c>
      <c r="D47" s="143"/>
      <c r="E47" s="24">
        <v>11895408</v>
      </c>
      <c r="F47" s="143"/>
      <c r="G47" s="24">
        <v>950879</v>
      </c>
      <c r="H47" s="143"/>
      <c r="I47" s="24">
        <f>2397073+2625033+835750</f>
        <v>5857856</v>
      </c>
      <c r="J47" s="143"/>
      <c r="K47" s="24">
        <v>5071253</v>
      </c>
      <c r="L47" s="143"/>
      <c r="M47" s="24">
        <v>0</v>
      </c>
      <c r="N47" s="143"/>
      <c r="O47" s="24">
        <v>905666</v>
      </c>
      <c r="P47" s="143"/>
      <c r="Q47" s="24">
        <v>211697</v>
      </c>
      <c r="R47" s="143"/>
      <c r="S47" s="24">
        <v>136510</v>
      </c>
      <c r="T47" s="143"/>
      <c r="U47" s="24">
        <v>-4633773</v>
      </c>
      <c r="V47" s="143"/>
      <c r="W47" s="143">
        <f t="shared" si="1"/>
        <v>7549209</v>
      </c>
      <c r="X47" s="143"/>
      <c r="Y47" s="143">
        <f t="shared" si="2"/>
        <v>26411375</v>
      </c>
    </row>
    <row r="48" spans="1:25" ht="12.75" customHeight="1">
      <c r="A48" s="23" t="s">
        <v>44</v>
      </c>
      <c r="B48" s="23"/>
      <c r="C48" s="24">
        <v>5150835</v>
      </c>
      <c r="D48" s="143"/>
      <c r="E48" s="24">
        <v>17616422</v>
      </c>
      <c r="F48" s="143"/>
      <c r="G48" s="24">
        <v>812111</v>
      </c>
      <c r="H48" s="143"/>
      <c r="I48" s="24">
        <f>2054064+3015694+115334+414716</f>
        <v>5599808</v>
      </c>
      <c r="J48" s="143"/>
      <c r="K48" s="24">
        <v>8225716</v>
      </c>
      <c r="L48" s="143"/>
      <c r="M48" s="24">
        <v>0</v>
      </c>
      <c r="N48" s="143"/>
      <c r="O48" s="24">
        <v>2273535</v>
      </c>
      <c r="P48" s="143"/>
      <c r="Q48" s="24">
        <v>176549</v>
      </c>
      <c r="R48" s="143"/>
      <c r="S48" s="24">
        <v>711540</v>
      </c>
      <c r="T48" s="143"/>
      <c r="U48" s="24">
        <v>0</v>
      </c>
      <c r="V48" s="143"/>
      <c r="W48" s="143">
        <f t="shared" si="1"/>
        <v>16987148</v>
      </c>
      <c r="X48" s="143"/>
      <c r="Y48" s="143">
        <f t="shared" si="2"/>
        <v>40566516</v>
      </c>
    </row>
    <row r="49" spans="1:25" ht="12.75" customHeight="1" hidden="1">
      <c r="A49" s="23" t="s">
        <v>239</v>
      </c>
      <c r="B49" s="23"/>
      <c r="C49" s="24"/>
      <c r="D49" s="143"/>
      <c r="E49" s="24"/>
      <c r="F49" s="143"/>
      <c r="G49" s="24"/>
      <c r="H49" s="143"/>
      <c r="I49" s="24"/>
      <c r="J49" s="143"/>
      <c r="K49" s="24"/>
      <c r="L49" s="143"/>
      <c r="M49" s="24"/>
      <c r="N49" s="143"/>
      <c r="O49" s="24"/>
      <c r="P49" s="143"/>
      <c r="Q49" s="24"/>
      <c r="R49" s="143"/>
      <c r="S49" s="24"/>
      <c r="T49" s="143"/>
      <c r="U49" s="24"/>
      <c r="V49" s="143"/>
      <c r="W49" s="143">
        <f t="shared" si="1"/>
        <v>0</v>
      </c>
      <c r="X49" s="143"/>
      <c r="Y49" s="143">
        <f t="shared" si="2"/>
        <v>0</v>
      </c>
    </row>
    <row r="50" spans="1:25" ht="12.75" customHeight="1">
      <c r="A50" s="23" t="s">
        <v>46</v>
      </c>
      <c r="B50" s="23"/>
      <c r="C50" s="24">
        <v>7628428</v>
      </c>
      <c r="D50" s="143"/>
      <c r="E50" s="24">
        <v>33043294</v>
      </c>
      <c r="F50" s="143"/>
      <c r="G50" s="24">
        <v>4751921</v>
      </c>
      <c r="H50" s="143"/>
      <c r="I50" s="24">
        <f>1848153+265468+2324326+1017932+141366+651212+927911+1100266</f>
        <v>8276634</v>
      </c>
      <c r="J50" s="143"/>
      <c r="K50" s="24">
        <f>4639671+2775287+1377676+150000+1033100</f>
        <v>9975734</v>
      </c>
      <c r="L50" s="143"/>
      <c r="M50" s="24">
        <v>0</v>
      </c>
      <c r="N50" s="143"/>
      <c r="O50" s="24">
        <v>1941770</v>
      </c>
      <c r="P50" s="143"/>
      <c r="Q50" s="24">
        <v>198403</v>
      </c>
      <c r="R50" s="143"/>
      <c r="S50" s="24">
        <v>723619</v>
      </c>
      <c r="T50" s="143"/>
      <c r="U50" s="24">
        <v>0</v>
      </c>
      <c r="V50" s="143"/>
      <c r="W50" s="143">
        <f t="shared" si="1"/>
        <v>21116160</v>
      </c>
      <c r="X50" s="143"/>
      <c r="Y50" s="143">
        <f t="shared" si="2"/>
        <v>66539803</v>
      </c>
    </row>
    <row r="51" spans="1:25" ht="12.75" customHeight="1">
      <c r="A51" s="23" t="s">
        <v>47</v>
      </c>
      <c r="B51" s="23"/>
      <c r="C51" s="24">
        <v>4298949</v>
      </c>
      <c r="D51" s="143"/>
      <c r="E51" s="24">
        <v>13668987</v>
      </c>
      <c r="F51" s="143"/>
      <c r="G51" s="24">
        <v>2471982</v>
      </c>
      <c r="H51" s="143"/>
      <c r="I51" s="24">
        <f>3823921+6398403</f>
        <v>10222324</v>
      </c>
      <c r="J51" s="143"/>
      <c r="K51" s="24">
        <v>5465107</v>
      </c>
      <c r="L51" s="143"/>
      <c r="M51" s="24">
        <v>0</v>
      </c>
      <c r="N51" s="143"/>
      <c r="O51" s="24">
        <v>2906735</v>
      </c>
      <c r="P51" s="143"/>
      <c r="Q51" s="24">
        <v>177190</v>
      </c>
      <c r="R51" s="143"/>
      <c r="S51" s="24">
        <v>1336069</v>
      </c>
      <c r="T51" s="143"/>
      <c r="U51" s="24">
        <v>-88082</v>
      </c>
      <c r="V51" s="143"/>
      <c r="W51" s="143">
        <f t="shared" si="1"/>
        <v>20019343</v>
      </c>
      <c r="X51" s="143"/>
      <c r="Y51" s="143">
        <f t="shared" si="2"/>
        <v>40459261</v>
      </c>
    </row>
    <row r="52" spans="1:25" ht="12.75" customHeight="1" hidden="1">
      <c r="A52" s="23" t="s">
        <v>48</v>
      </c>
      <c r="B52" s="23"/>
      <c r="C52" s="24"/>
      <c r="D52" s="143"/>
      <c r="E52" s="24"/>
      <c r="F52" s="143"/>
      <c r="G52" s="24"/>
      <c r="H52" s="143"/>
      <c r="I52" s="24"/>
      <c r="J52" s="143"/>
      <c r="K52" s="24"/>
      <c r="L52" s="143"/>
      <c r="M52" s="24"/>
      <c r="N52" s="143"/>
      <c r="O52" s="24"/>
      <c r="P52" s="143"/>
      <c r="Q52" s="24"/>
      <c r="R52" s="143"/>
      <c r="S52" s="24"/>
      <c r="T52" s="143"/>
      <c r="U52" s="24"/>
      <c r="V52" s="143"/>
      <c r="W52" s="143">
        <f t="shared" si="1"/>
        <v>0</v>
      </c>
      <c r="X52" s="143"/>
      <c r="Y52" s="143">
        <f t="shared" si="2"/>
        <v>0</v>
      </c>
    </row>
    <row r="53" spans="1:25" ht="12.75" customHeight="1" hidden="1">
      <c r="A53" s="23" t="s">
        <v>169</v>
      </c>
      <c r="B53" s="23"/>
      <c r="C53" s="24"/>
      <c r="D53" s="143"/>
      <c r="E53" s="24"/>
      <c r="F53" s="143"/>
      <c r="G53" s="24"/>
      <c r="H53" s="143"/>
      <c r="I53" s="24"/>
      <c r="J53" s="143"/>
      <c r="K53" s="24"/>
      <c r="L53" s="143"/>
      <c r="M53" s="24"/>
      <c r="N53" s="143"/>
      <c r="O53" s="24"/>
      <c r="P53" s="143"/>
      <c r="Q53" s="24"/>
      <c r="R53" s="143"/>
      <c r="S53" s="24"/>
      <c r="T53" s="143"/>
      <c r="U53" s="24"/>
      <c r="V53" s="143"/>
      <c r="W53" s="143">
        <f t="shared" si="1"/>
        <v>0</v>
      </c>
      <c r="X53" s="143"/>
      <c r="Y53" s="143">
        <f t="shared" si="2"/>
        <v>0</v>
      </c>
    </row>
    <row r="54" spans="1:25" ht="12.75" customHeight="1">
      <c r="A54" s="23" t="s">
        <v>49</v>
      </c>
      <c r="B54" s="23"/>
      <c r="C54" s="24">
        <v>13815435</v>
      </c>
      <c r="D54" s="143"/>
      <c r="E54" s="24">
        <v>32994121</v>
      </c>
      <c r="F54" s="143"/>
      <c r="G54" s="24">
        <v>0</v>
      </c>
      <c r="H54" s="143"/>
      <c r="I54" s="24">
        <f>7326086+15810354</f>
        <v>23136440</v>
      </c>
      <c r="J54" s="143"/>
      <c r="K54" s="24">
        <v>24804013</v>
      </c>
      <c r="L54" s="143"/>
      <c r="M54" s="24">
        <v>0</v>
      </c>
      <c r="N54" s="143"/>
      <c r="O54" s="24">
        <v>7648773</v>
      </c>
      <c r="P54" s="143"/>
      <c r="Q54" s="24">
        <v>424101</v>
      </c>
      <c r="R54" s="143"/>
      <c r="S54" s="24">
        <v>3257496</v>
      </c>
      <c r="T54" s="143"/>
      <c r="U54" s="24">
        <v>0</v>
      </c>
      <c r="V54" s="143"/>
      <c r="W54" s="143">
        <f t="shared" si="1"/>
        <v>59270823</v>
      </c>
      <c r="X54" s="143"/>
      <c r="Y54" s="143">
        <f t="shared" si="2"/>
        <v>106080379</v>
      </c>
    </row>
    <row r="55" spans="1:25" ht="12.75" customHeight="1">
      <c r="A55" s="23" t="s">
        <v>50</v>
      </c>
      <c r="B55" s="23"/>
      <c r="C55" s="24">
        <v>6861574</v>
      </c>
      <c r="D55" s="143"/>
      <c r="E55" s="24">
        <v>12989079</v>
      </c>
      <c r="F55" s="143"/>
      <c r="G55" s="24">
        <v>647841</v>
      </c>
      <c r="H55" s="143"/>
      <c r="I55" s="24">
        <f>2152725+3433486+873335</f>
        <v>6459546</v>
      </c>
      <c r="J55" s="143"/>
      <c r="K55" s="24">
        <f>4428982+2766219</f>
        <v>7195201</v>
      </c>
      <c r="L55" s="143"/>
      <c r="M55" s="24">
        <v>0</v>
      </c>
      <c r="N55" s="143"/>
      <c r="O55" s="24">
        <v>1407012</v>
      </c>
      <c r="P55" s="143"/>
      <c r="Q55" s="24">
        <v>218767</v>
      </c>
      <c r="R55" s="143"/>
      <c r="S55" s="24">
        <v>185555</v>
      </c>
      <c r="T55" s="143"/>
      <c r="U55" s="24">
        <v>-53158</v>
      </c>
      <c r="V55" s="143"/>
      <c r="W55" s="143">
        <f>SUM(I55:U55)</f>
        <v>15412923</v>
      </c>
      <c r="X55" s="143"/>
      <c r="Y55" s="143">
        <f t="shared" si="2"/>
        <v>35911417</v>
      </c>
    </row>
    <row r="56" spans="1:25" ht="12.75" customHeight="1">
      <c r="A56" s="23" t="s">
        <v>244</v>
      </c>
      <c r="B56" s="23"/>
      <c r="C56" s="24">
        <v>41991533</v>
      </c>
      <c r="D56" s="143"/>
      <c r="E56" s="24">
        <v>72312012</v>
      </c>
      <c r="F56" s="143"/>
      <c r="G56" s="24">
        <v>7171832</v>
      </c>
      <c r="H56" s="143"/>
      <c r="I56" s="24">
        <v>45976340</v>
      </c>
      <c r="J56" s="143"/>
      <c r="K56" s="24">
        <v>23604815</v>
      </c>
      <c r="L56" s="143"/>
      <c r="M56" s="24">
        <v>0</v>
      </c>
      <c r="N56" s="143"/>
      <c r="O56" s="24">
        <v>15217298</v>
      </c>
      <c r="P56" s="143"/>
      <c r="Q56" s="24">
        <v>1665961</v>
      </c>
      <c r="R56" s="143"/>
      <c r="S56" s="24">
        <v>1987056</v>
      </c>
      <c r="T56" s="143"/>
      <c r="U56" s="24">
        <v>-150000</v>
      </c>
      <c r="V56" s="143"/>
      <c r="W56" s="143">
        <f t="shared" si="1"/>
        <v>88301470</v>
      </c>
      <c r="X56" s="143"/>
      <c r="Y56" s="143">
        <f t="shared" si="2"/>
        <v>209776847</v>
      </c>
    </row>
    <row r="57" spans="1:25" ht="12.75" customHeight="1">
      <c r="A57" s="23" t="s">
        <v>187</v>
      </c>
      <c r="B57" s="23"/>
      <c r="C57" s="24">
        <v>35932576</v>
      </c>
      <c r="D57" s="143"/>
      <c r="E57" s="24">
        <v>194805926</v>
      </c>
      <c r="F57" s="143"/>
      <c r="G57" s="24">
        <v>6187291</v>
      </c>
      <c r="H57" s="143"/>
      <c r="I57" s="24">
        <v>91424977</v>
      </c>
      <c r="J57" s="143"/>
      <c r="K57" s="24">
        <v>72654001</v>
      </c>
      <c r="L57" s="143"/>
      <c r="M57" s="24">
        <v>4880730</v>
      </c>
      <c r="N57" s="143"/>
      <c r="O57" s="24">
        <v>21871707</v>
      </c>
      <c r="P57" s="143"/>
      <c r="Q57" s="24">
        <v>3086880</v>
      </c>
      <c r="R57" s="143"/>
      <c r="S57" s="24">
        <v>15938910</v>
      </c>
      <c r="T57" s="143"/>
      <c r="U57" s="24">
        <v>-114179</v>
      </c>
      <c r="V57" s="143"/>
      <c r="W57" s="143">
        <f t="shared" si="1"/>
        <v>209743026</v>
      </c>
      <c r="X57" s="143"/>
      <c r="Y57" s="143">
        <f t="shared" si="2"/>
        <v>446668819</v>
      </c>
    </row>
    <row r="58" spans="1:25" ht="12.75" customHeight="1" hidden="1">
      <c r="A58" s="23" t="s">
        <v>52</v>
      </c>
      <c r="B58" s="23"/>
      <c r="C58" s="24"/>
      <c r="D58" s="143"/>
      <c r="E58" s="24"/>
      <c r="F58" s="143"/>
      <c r="G58" s="24"/>
      <c r="H58" s="143"/>
      <c r="I58" s="24"/>
      <c r="J58" s="143"/>
      <c r="K58" s="24"/>
      <c r="L58" s="143"/>
      <c r="M58" s="24"/>
      <c r="N58" s="143"/>
      <c r="O58" s="24"/>
      <c r="P58" s="143"/>
      <c r="Q58" s="24"/>
      <c r="R58" s="143"/>
      <c r="S58" s="24"/>
      <c r="T58" s="143"/>
      <c r="U58" s="24"/>
      <c r="V58" s="143"/>
      <c r="W58" s="143">
        <f t="shared" si="1"/>
        <v>0</v>
      </c>
      <c r="X58" s="143"/>
      <c r="Y58" s="143">
        <f t="shared" si="2"/>
        <v>0</v>
      </c>
    </row>
    <row r="59" spans="1:25" ht="12.75" customHeight="1">
      <c r="A59" s="23" t="s">
        <v>53</v>
      </c>
      <c r="B59" s="23"/>
      <c r="C59" s="24">
        <v>23298001</v>
      </c>
      <c r="D59" s="143"/>
      <c r="E59" s="24">
        <v>78695348</v>
      </c>
      <c r="F59" s="143"/>
      <c r="G59" s="24">
        <v>5260990</v>
      </c>
      <c r="H59" s="143"/>
      <c r="I59" s="24">
        <f>8945439+4988594+14067091+3520543</f>
        <v>31521667</v>
      </c>
      <c r="J59" s="143"/>
      <c r="K59" s="24">
        <v>30392085</v>
      </c>
      <c r="L59" s="143"/>
      <c r="M59" s="24">
        <v>1373069</v>
      </c>
      <c r="N59" s="143"/>
      <c r="O59" s="24">
        <v>6950031</v>
      </c>
      <c r="P59" s="143"/>
      <c r="Q59" s="24">
        <v>1109454</v>
      </c>
      <c r="R59" s="143"/>
      <c r="S59" s="24">
        <v>3761310</v>
      </c>
      <c r="T59" s="143"/>
      <c r="U59" s="24">
        <v>-76930</v>
      </c>
      <c r="V59" s="143"/>
      <c r="W59" s="143">
        <f t="shared" si="1"/>
        <v>75030686</v>
      </c>
      <c r="X59" s="143"/>
      <c r="Y59" s="143">
        <f t="shared" si="2"/>
        <v>182285025</v>
      </c>
    </row>
    <row r="60" spans="1:25" ht="12.75" customHeight="1">
      <c r="A60" s="23" t="s">
        <v>54</v>
      </c>
      <c r="B60" s="23"/>
      <c r="C60" s="24">
        <v>5323619</v>
      </c>
      <c r="D60" s="143"/>
      <c r="E60" s="24">
        <v>19044052</v>
      </c>
      <c r="F60" s="143"/>
      <c r="G60" s="24">
        <v>4588222</v>
      </c>
      <c r="H60" s="143"/>
      <c r="I60" s="24">
        <f>2087575+2489882+259999+1102922+653876</f>
        <v>6594254</v>
      </c>
      <c r="J60" s="143"/>
      <c r="K60" s="24">
        <v>7909112</v>
      </c>
      <c r="L60" s="143"/>
      <c r="M60" s="24">
        <v>386197</v>
      </c>
      <c r="N60" s="143"/>
      <c r="O60" s="24">
        <v>1616108</v>
      </c>
      <c r="P60" s="143"/>
      <c r="Q60" s="24">
        <v>270512</v>
      </c>
      <c r="R60" s="143"/>
      <c r="S60" s="24">
        <v>2164945</v>
      </c>
      <c r="T60" s="143"/>
      <c r="U60" s="24">
        <v>0</v>
      </c>
      <c r="V60" s="143"/>
      <c r="W60" s="143">
        <f t="shared" si="1"/>
        <v>18941128</v>
      </c>
      <c r="X60" s="143"/>
      <c r="Y60" s="143">
        <f t="shared" si="2"/>
        <v>47897021</v>
      </c>
    </row>
    <row r="61" spans="1:25" ht="12.75" customHeight="1">
      <c r="A61" s="23" t="s">
        <v>55</v>
      </c>
      <c r="B61" s="23"/>
      <c r="C61" s="24">
        <v>16662359</v>
      </c>
      <c r="D61" s="143"/>
      <c r="E61" s="24">
        <v>32768641</v>
      </c>
      <c r="F61" s="143"/>
      <c r="G61" s="24">
        <v>2360628</v>
      </c>
      <c r="H61" s="143"/>
      <c r="I61" s="24">
        <f>9651336+552478+11505321+798861+431495+1363322</f>
        <v>24302813</v>
      </c>
      <c r="J61" s="143"/>
      <c r="K61" s="24">
        <f>9941056+11839+9919086</f>
        <v>19871981</v>
      </c>
      <c r="L61" s="143"/>
      <c r="M61" s="24">
        <v>1416345</v>
      </c>
      <c r="N61" s="143"/>
      <c r="O61" s="24">
        <v>4578932</v>
      </c>
      <c r="P61" s="143"/>
      <c r="Q61" s="24">
        <v>741064</v>
      </c>
      <c r="R61" s="143"/>
      <c r="S61" s="24">
        <v>1738775</v>
      </c>
      <c r="T61" s="143"/>
      <c r="U61" s="24">
        <v>0</v>
      </c>
      <c r="V61" s="143"/>
      <c r="W61" s="143">
        <f t="shared" si="1"/>
        <v>52649910</v>
      </c>
      <c r="X61" s="143"/>
      <c r="Y61" s="143">
        <f t="shared" si="2"/>
        <v>104441538</v>
      </c>
    </row>
    <row r="62" spans="1:25" ht="12.75" customHeight="1" hidden="1">
      <c r="A62" s="23" t="s">
        <v>170</v>
      </c>
      <c r="B62" s="23"/>
      <c r="C62" s="24"/>
      <c r="D62" s="143"/>
      <c r="E62" s="24"/>
      <c r="F62" s="143"/>
      <c r="G62" s="24"/>
      <c r="H62" s="143"/>
      <c r="I62" s="24"/>
      <c r="J62" s="143"/>
      <c r="K62" s="24"/>
      <c r="L62" s="143"/>
      <c r="M62" s="24"/>
      <c r="N62" s="143"/>
      <c r="O62" s="24"/>
      <c r="P62" s="143"/>
      <c r="Q62" s="24"/>
      <c r="R62" s="143"/>
      <c r="S62" s="24"/>
      <c r="T62" s="143"/>
      <c r="U62" s="24"/>
      <c r="V62" s="143"/>
      <c r="W62" s="143">
        <f t="shared" si="1"/>
        <v>0</v>
      </c>
      <c r="X62" s="143"/>
      <c r="Y62" s="143">
        <f t="shared" si="2"/>
        <v>0</v>
      </c>
    </row>
    <row r="63" spans="1:25" ht="12.75" customHeight="1" hidden="1">
      <c r="A63" s="23" t="s">
        <v>56</v>
      </c>
      <c r="B63" s="23"/>
      <c r="C63" s="24"/>
      <c r="D63" s="143"/>
      <c r="E63" s="24"/>
      <c r="F63" s="143"/>
      <c r="G63" s="24"/>
      <c r="H63" s="143"/>
      <c r="I63" s="24"/>
      <c r="J63" s="143"/>
      <c r="K63" s="24"/>
      <c r="L63" s="143"/>
      <c r="M63" s="24"/>
      <c r="N63" s="143"/>
      <c r="O63" s="24"/>
      <c r="P63" s="143"/>
      <c r="Q63" s="24"/>
      <c r="R63" s="143"/>
      <c r="S63" s="24"/>
      <c r="T63" s="143"/>
      <c r="U63" s="24"/>
      <c r="V63" s="143"/>
      <c r="W63" s="143">
        <f t="shared" si="1"/>
        <v>0</v>
      </c>
      <c r="X63" s="143"/>
      <c r="Y63" s="143">
        <f t="shared" si="2"/>
        <v>0</v>
      </c>
    </row>
    <row r="64" spans="1:25" ht="12.75" customHeight="1">
      <c r="A64" s="23" t="s">
        <v>57</v>
      </c>
      <c r="B64" s="23"/>
      <c r="C64" s="24">
        <v>15136575</v>
      </c>
      <c r="D64" s="143"/>
      <c r="E64" s="24">
        <v>16371227</v>
      </c>
      <c r="F64" s="143"/>
      <c r="G64" s="24">
        <v>12195535</v>
      </c>
      <c r="H64" s="143"/>
      <c r="I64" s="24">
        <v>11630674</v>
      </c>
      <c r="J64" s="143"/>
      <c r="K64" s="24">
        <v>13898866</v>
      </c>
      <c r="L64" s="143"/>
      <c r="M64" s="24">
        <v>0</v>
      </c>
      <c r="N64" s="143"/>
      <c r="O64" s="24">
        <v>4645087</v>
      </c>
      <c r="P64" s="143"/>
      <c r="Q64" s="24">
        <v>467556</v>
      </c>
      <c r="R64" s="143"/>
      <c r="S64" s="24">
        <v>916459</v>
      </c>
      <c r="T64" s="143"/>
      <c r="U64" s="24">
        <v>0</v>
      </c>
      <c r="V64" s="143"/>
      <c r="W64" s="143">
        <f t="shared" si="1"/>
        <v>31558642</v>
      </c>
      <c r="X64" s="143"/>
      <c r="Y64" s="143">
        <f t="shared" si="2"/>
        <v>75261979</v>
      </c>
    </row>
    <row r="65" spans="1:25" ht="12.75" customHeight="1" hidden="1">
      <c r="A65" s="23" t="s">
        <v>58</v>
      </c>
      <c r="B65" s="23"/>
      <c r="C65" s="24"/>
      <c r="D65" s="143"/>
      <c r="E65" s="24"/>
      <c r="F65" s="143"/>
      <c r="G65" s="24"/>
      <c r="H65" s="143"/>
      <c r="I65" s="24"/>
      <c r="J65" s="143"/>
      <c r="K65" s="24"/>
      <c r="L65" s="143"/>
      <c r="M65" s="24"/>
      <c r="N65" s="143"/>
      <c r="O65" s="24"/>
      <c r="P65" s="143"/>
      <c r="Q65" s="24"/>
      <c r="R65" s="143"/>
      <c r="S65" s="24"/>
      <c r="T65" s="143"/>
      <c r="U65" s="24"/>
      <c r="V65" s="143"/>
      <c r="W65" s="143">
        <f t="shared" si="1"/>
        <v>0</v>
      </c>
      <c r="X65" s="143"/>
      <c r="Y65" s="143">
        <f t="shared" si="2"/>
        <v>0</v>
      </c>
    </row>
    <row r="66" spans="1:25" ht="12.75" customHeight="1">
      <c r="A66" s="23" t="s">
        <v>59</v>
      </c>
      <c r="B66" s="23"/>
      <c r="C66" s="24">
        <v>65800573</v>
      </c>
      <c r="D66" s="24"/>
      <c r="E66" s="24">
        <v>197760439</v>
      </c>
      <c r="F66" s="24"/>
      <c r="G66" s="24">
        <v>11905093</v>
      </c>
      <c r="H66" s="24"/>
      <c r="I66" s="24">
        <f>16051415+2987755+115040009</f>
        <v>134079179</v>
      </c>
      <c r="J66" s="24"/>
      <c r="K66" s="24">
        <v>66998226</v>
      </c>
      <c r="L66" s="24"/>
      <c r="M66" s="24">
        <f>1979525+2402054+4144442</f>
        <v>8526021</v>
      </c>
      <c r="N66" s="24"/>
      <c r="O66" s="24">
        <v>19526597</v>
      </c>
      <c r="P66" s="24"/>
      <c r="Q66" s="24">
        <v>13199072</v>
      </c>
      <c r="R66" s="24"/>
      <c r="S66" s="24">
        <f>205033+1835146</f>
        <v>2040179</v>
      </c>
      <c r="T66" s="24"/>
      <c r="U66" s="24">
        <v>-4754359</v>
      </c>
      <c r="V66" s="24"/>
      <c r="W66" s="24">
        <f t="shared" si="1"/>
        <v>239614915</v>
      </c>
      <c r="X66" s="24"/>
      <c r="Y66" s="24">
        <f t="shared" si="2"/>
        <v>515081020</v>
      </c>
    </row>
    <row r="67" spans="1:25" ht="12.75" customHeight="1" hidden="1">
      <c r="A67" s="23" t="s">
        <v>60</v>
      </c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>
        <f t="shared" si="1"/>
        <v>0</v>
      </c>
      <c r="X67" s="24"/>
      <c r="Y67" s="24">
        <f t="shared" si="2"/>
        <v>0</v>
      </c>
    </row>
    <row r="68" spans="1:25" ht="12.75" customHeight="1">
      <c r="A68" s="23" t="s">
        <v>97</v>
      </c>
      <c r="B68" s="23"/>
      <c r="C68" s="24">
        <v>5262047</v>
      </c>
      <c r="D68" s="24"/>
      <c r="E68" s="24">
        <v>12005248</v>
      </c>
      <c r="F68" s="24"/>
      <c r="G68" s="24">
        <v>21922</v>
      </c>
      <c r="H68" s="24"/>
      <c r="I68" s="24">
        <f>2067816+2040244</f>
        <v>4108060</v>
      </c>
      <c r="J68" s="24"/>
      <c r="K68" s="24">
        <v>2768296</v>
      </c>
      <c r="L68" s="24"/>
      <c r="M68" s="24">
        <v>0</v>
      </c>
      <c r="N68" s="24"/>
      <c r="O68" s="24">
        <v>1738792</v>
      </c>
      <c r="P68" s="24"/>
      <c r="Q68" s="24">
        <v>44788</v>
      </c>
      <c r="R68" s="24"/>
      <c r="S68" s="24">
        <v>1276579</v>
      </c>
      <c r="T68" s="24"/>
      <c r="U68" s="24">
        <v>0</v>
      </c>
      <c r="V68" s="24"/>
      <c r="W68" s="24">
        <f t="shared" si="1"/>
        <v>9936515</v>
      </c>
      <c r="X68" s="24"/>
      <c r="Y68" s="24">
        <f t="shared" si="2"/>
        <v>27225732</v>
      </c>
    </row>
    <row r="69" spans="1:25" ht="12.75" customHeight="1">
      <c r="A69" s="23" t="s">
        <v>61</v>
      </c>
      <c r="B69" s="23"/>
      <c r="C69" s="24">
        <v>13008813</v>
      </c>
      <c r="D69" s="24"/>
      <c r="E69" s="24">
        <v>25402211</v>
      </c>
      <c r="F69" s="24"/>
      <c r="G69" s="24">
        <v>3680425</v>
      </c>
      <c r="H69" s="24"/>
      <c r="I69" s="24">
        <f>3154409+422054+527607+1045231+629516+3297565+6068540+2638057</f>
        <v>17782979</v>
      </c>
      <c r="J69" s="24"/>
      <c r="K69" s="24">
        <v>15545873</v>
      </c>
      <c r="L69" s="24"/>
      <c r="M69" s="24">
        <v>349593</v>
      </c>
      <c r="N69" s="24"/>
      <c r="O69" s="24">
        <v>2055775</v>
      </c>
      <c r="P69" s="24"/>
      <c r="Q69" s="24">
        <v>821921</v>
      </c>
      <c r="R69" s="24"/>
      <c r="S69" s="24">
        <f>932318+7325</f>
        <v>939643</v>
      </c>
      <c r="T69" s="24"/>
      <c r="U69" s="24">
        <v>25268</v>
      </c>
      <c r="V69" s="24"/>
      <c r="W69" s="24">
        <f t="shared" si="1"/>
        <v>37521052</v>
      </c>
      <c r="X69" s="24"/>
      <c r="Y69" s="24">
        <f t="shared" si="2"/>
        <v>79612501</v>
      </c>
    </row>
    <row r="70" spans="1:25" ht="12.75" customHeight="1">
      <c r="A70" s="23" t="s">
        <v>62</v>
      </c>
      <c r="B70" s="23"/>
      <c r="C70" s="24">
        <v>1999041</v>
      </c>
      <c r="D70" s="24"/>
      <c r="E70" s="24">
        <v>6658662</v>
      </c>
      <c r="F70" s="24"/>
      <c r="G70" s="24">
        <v>32517</v>
      </c>
      <c r="H70" s="24"/>
      <c r="I70" s="24">
        <f>728276+275953+696815+349671+117296</f>
        <v>2168011</v>
      </c>
      <c r="J70" s="24"/>
      <c r="K70" s="24">
        <v>1108326</v>
      </c>
      <c r="L70" s="24"/>
      <c r="M70" s="24">
        <v>0</v>
      </c>
      <c r="N70" s="24"/>
      <c r="O70" s="24">
        <v>368914</v>
      </c>
      <c r="P70" s="24"/>
      <c r="Q70" s="24">
        <v>133268</v>
      </c>
      <c r="R70" s="24"/>
      <c r="S70" s="24">
        <v>249475</v>
      </c>
      <c r="T70" s="24"/>
      <c r="U70" s="24">
        <v>0</v>
      </c>
      <c r="V70" s="24"/>
      <c r="W70" s="24">
        <f t="shared" si="1"/>
        <v>4027994</v>
      </c>
      <c r="X70" s="24"/>
      <c r="Y70" s="24">
        <f t="shared" si="2"/>
        <v>12718214</v>
      </c>
    </row>
    <row r="71" spans="1:25" ht="12.75" customHeight="1" hidden="1">
      <c r="A71" s="23" t="s">
        <v>63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>
        <f t="shared" si="1"/>
        <v>0</v>
      </c>
      <c r="X71" s="24"/>
      <c r="Y71" s="24">
        <f t="shared" si="2"/>
        <v>0</v>
      </c>
    </row>
    <row r="72" spans="1:25" ht="12.75" customHeight="1" hidden="1">
      <c r="A72" s="23" t="s">
        <v>131</v>
      </c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>
        <f t="shared" si="1"/>
        <v>0</v>
      </c>
      <c r="X72" s="24"/>
      <c r="Y72" s="24">
        <f t="shared" si="2"/>
        <v>0</v>
      </c>
    </row>
    <row r="73" spans="1:25" ht="12.75" customHeight="1" hidden="1">
      <c r="A73" s="23" t="s">
        <v>64</v>
      </c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>
        <f t="shared" si="1"/>
        <v>0</v>
      </c>
      <c r="X73" s="24"/>
      <c r="Y73" s="24">
        <f t="shared" si="2"/>
        <v>0</v>
      </c>
    </row>
    <row r="74" spans="1:25" ht="12.75" customHeight="1">
      <c r="A74" s="23" t="s">
        <v>65</v>
      </c>
      <c r="B74" s="23"/>
      <c r="C74" s="24">
        <v>4752086</v>
      </c>
      <c r="D74" s="24"/>
      <c r="E74" s="24">
        <v>13048496</v>
      </c>
      <c r="F74" s="24"/>
      <c r="G74" s="24">
        <v>70501</v>
      </c>
      <c r="H74" s="24"/>
      <c r="I74" s="24">
        <f>7052731+5944+447440</f>
        <v>7506115</v>
      </c>
      <c r="J74" s="24"/>
      <c r="K74" s="24">
        <f>7264253+32679</f>
        <v>7296932</v>
      </c>
      <c r="L74" s="24"/>
      <c r="M74" s="24">
        <v>0</v>
      </c>
      <c r="N74" s="24"/>
      <c r="O74" s="24">
        <v>416128</v>
      </c>
      <c r="P74" s="24"/>
      <c r="Q74" s="24">
        <v>257143</v>
      </c>
      <c r="R74" s="24"/>
      <c r="S74" s="24">
        <v>1051963</v>
      </c>
      <c r="T74" s="24"/>
      <c r="U74" s="24">
        <v>0</v>
      </c>
      <c r="V74" s="24"/>
      <c r="W74" s="24">
        <f t="shared" si="1"/>
        <v>16528281</v>
      </c>
      <c r="X74" s="24"/>
      <c r="Y74" s="24">
        <f t="shared" si="2"/>
        <v>34399364</v>
      </c>
    </row>
    <row r="75" spans="1:25" ht="12.75" customHeight="1">
      <c r="A75" s="23" t="s">
        <v>66</v>
      </c>
      <c r="B75" s="23"/>
      <c r="C75" s="24">
        <v>2829373</v>
      </c>
      <c r="D75" s="24"/>
      <c r="E75" s="24">
        <v>11037642</v>
      </c>
      <c r="F75" s="24"/>
      <c r="G75" s="24">
        <v>4600962</v>
      </c>
      <c r="H75" s="24"/>
      <c r="I75" s="24">
        <f>1593171+385062+1148951+541400+280304</f>
        <v>3948888</v>
      </c>
      <c r="J75" s="24"/>
      <c r="K75" s="24">
        <v>3591117</v>
      </c>
      <c r="L75" s="24"/>
      <c r="M75" s="24">
        <v>0</v>
      </c>
      <c r="N75" s="24"/>
      <c r="O75" s="24">
        <v>1439578</v>
      </c>
      <c r="P75" s="24"/>
      <c r="Q75" s="24">
        <v>178680</v>
      </c>
      <c r="R75" s="24"/>
      <c r="S75" s="24">
        <v>1060919</v>
      </c>
      <c r="T75" s="24"/>
      <c r="U75" s="24">
        <v>-5615</v>
      </c>
      <c r="V75" s="24"/>
      <c r="W75" s="24">
        <f t="shared" si="1"/>
        <v>10213567</v>
      </c>
      <c r="X75" s="24"/>
      <c r="Y75" s="24">
        <f t="shared" si="2"/>
        <v>28681544</v>
      </c>
    </row>
    <row r="76" spans="1:25" ht="12.75" customHeight="1">
      <c r="A76" s="23" t="s">
        <v>67</v>
      </c>
      <c r="B76" s="23"/>
      <c r="C76" s="24">
        <v>19135857</v>
      </c>
      <c r="D76" s="24"/>
      <c r="E76" s="24">
        <v>41063402</v>
      </c>
      <c r="F76" s="24"/>
      <c r="G76" s="24">
        <v>4562695</v>
      </c>
      <c r="H76" s="24"/>
      <c r="I76" s="24">
        <f>4320033+3382329+12309336+2322468+1425570</f>
        <v>23759736</v>
      </c>
      <c r="J76" s="24"/>
      <c r="K76" s="24">
        <v>16719150</v>
      </c>
      <c r="L76" s="24"/>
      <c r="M76" s="24">
        <v>0</v>
      </c>
      <c r="N76" s="24"/>
      <c r="O76" s="24">
        <v>3566900</v>
      </c>
      <c r="P76" s="24"/>
      <c r="Q76" s="24">
        <v>1672673</v>
      </c>
      <c r="R76" s="24"/>
      <c r="S76" s="24">
        <v>1153859</v>
      </c>
      <c r="T76" s="24"/>
      <c r="U76" s="24">
        <v>0</v>
      </c>
      <c r="V76" s="24"/>
      <c r="W76" s="24">
        <f t="shared" si="1"/>
        <v>46872318</v>
      </c>
      <c r="X76" s="24"/>
      <c r="Y76" s="24">
        <f t="shared" si="2"/>
        <v>111634272</v>
      </c>
    </row>
    <row r="77" spans="1:25" ht="12.75" customHeight="1">
      <c r="A77" s="23" t="s">
        <v>68</v>
      </c>
      <c r="B77" s="23"/>
      <c r="C77" s="24">
        <v>4020895</v>
      </c>
      <c r="D77" s="24"/>
      <c r="E77" s="24">
        <v>12790652</v>
      </c>
      <c r="F77" s="24"/>
      <c r="G77" s="24">
        <v>1511069</v>
      </c>
      <c r="H77" s="24"/>
      <c r="I77" s="24">
        <v>4179527</v>
      </c>
      <c r="J77" s="24"/>
      <c r="K77" s="24">
        <v>5027910</v>
      </c>
      <c r="L77" s="24"/>
      <c r="M77" s="24">
        <v>0</v>
      </c>
      <c r="N77" s="24"/>
      <c r="O77" s="24">
        <v>1064961</v>
      </c>
      <c r="P77" s="24"/>
      <c r="Q77" s="24">
        <v>177468</v>
      </c>
      <c r="R77" s="24"/>
      <c r="S77" s="24">
        <v>266841</v>
      </c>
      <c r="T77" s="24"/>
      <c r="U77" s="24">
        <v>0</v>
      </c>
      <c r="V77" s="24"/>
      <c r="W77" s="24">
        <f>SUM(I77:U77)</f>
        <v>10716707</v>
      </c>
      <c r="X77" s="24"/>
      <c r="Y77" s="24">
        <f t="shared" si="2"/>
        <v>29039323</v>
      </c>
    </row>
    <row r="78" spans="1:25" ht="12.75" customHeight="1" hidden="1">
      <c r="A78" s="23" t="s">
        <v>175</v>
      </c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3:21" ht="12.75" customHeight="1">
      <c r="C79" s="24"/>
      <c r="E79" s="24"/>
      <c r="G79" s="24"/>
      <c r="I79" s="24"/>
      <c r="K79" s="24"/>
      <c r="M79" s="24"/>
      <c r="O79" s="24"/>
      <c r="Q79" s="24"/>
      <c r="S79" s="24"/>
      <c r="U79" s="24"/>
    </row>
    <row r="80" spans="3:25" ht="12.75" customHeight="1">
      <c r="C80" s="24"/>
      <c r="E80" s="24"/>
      <c r="G80" s="24"/>
      <c r="I80" s="24"/>
      <c r="K80" s="24"/>
      <c r="M80" s="24"/>
      <c r="O80" s="24"/>
      <c r="Q80" s="24"/>
      <c r="S80" s="24"/>
      <c r="U80" s="24"/>
      <c r="Y80" s="30" t="s">
        <v>247</v>
      </c>
    </row>
    <row r="81" spans="1:25" ht="12.75" customHeight="1">
      <c r="A81" s="23" t="s">
        <v>177</v>
      </c>
      <c r="B81" s="23"/>
      <c r="C81" s="177">
        <v>13671567</v>
      </c>
      <c r="D81" s="177"/>
      <c r="E81" s="177">
        <v>47375706</v>
      </c>
      <c r="F81" s="177"/>
      <c r="G81" s="177">
        <v>5368495</v>
      </c>
      <c r="H81" s="177"/>
      <c r="I81" s="177">
        <f>3389597+1541274+8058868+2178582+675908</f>
        <v>15844229</v>
      </c>
      <c r="J81" s="177"/>
      <c r="K81" s="177">
        <v>16383198</v>
      </c>
      <c r="L81" s="177"/>
      <c r="M81" s="177">
        <v>0</v>
      </c>
      <c r="N81" s="177"/>
      <c r="O81" s="177">
        <v>3540048</v>
      </c>
      <c r="P81" s="177"/>
      <c r="Q81" s="177">
        <v>704133</v>
      </c>
      <c r="R81" s="177"/>
      <c r="S81" s="177">
        <v>542563</v>
      </c>
      <c r="T81" s="177"/>
      <c r="U81" s="177">
        <v>146122</v>
      </c>
      <c r="V81" s="44"/>
      <c r="W81" s="44">
        <f>SUM(I81:U81)</f>
        <v>37160293</v>
      </c>
      <c r="X81" s="44"/>
      <c r="Y81" s="44">
        <f t="shared" si="2"/>
        <v>103576061</v>
      </c>
    </row>
    <row r="82" spans="1:25" ht="12.75" customHeight="1">
      <c r="A82" s="23" t="s">
        <v>69</v>
      </c>
      <c r="B82" s="23"/>
      <c r="C82" s="24">
        <v>7363285</v>
      </c>
      <c r="D82" s="24"/>
      <c r="E82" s="24">
        <v>21019614</v>
      </c>
      <c r="F82" s="24"/>
      <c r="G82" s="24">
        <v>481775</v>
      </c>
      <c r="H82" s="24"/>
      <c r="I82" s="24">
        <f>885756+5704046+465688+3184356</f>
        <v>10239846</v>
      </c>
      <c r="J82" s="24"/>
      <c r="K82" s="24">
        <v>12433761</v>
      </c>
      <c r="L82" s="24"/>
      <c r="M82" s="24">
        <v>0</v>
      </c>
      <c r="N82" s="24"/>
      <c r="O82" s="24">
        <v>2641377</v>
      </c>
      <c r="P82" s="24"/>
      <c r="Q82" s="24">
        <v>176371</v>
      </c>
      <c r="R82" s="24"/>
      <c r="S82" s="24">
        <v>965929</v>
      </c>
      <c r="T82" s="24"/>
      <c r="U82" s="24">
        <v>0</v>
      </c>
      <c r="V82" s="24"/>
      <c r="W82" s="24">
        <f>SUM(I82:U82)</f>
        <v>26457284</v>
      </c>
      <c r="X82" s="24"/>
      <c r="Y82" s="24">
        <f t="shared" si="2"/>
        <v>55321958</v>
      </c>
    </row>
    <row r="83" spans="1:25" ht="12.75" customHeight="1">
      <c r="A83" s="23" t="s">
        <v>98</v>
      </c>
      <c r="B83" s="23"/>
      <c r="C83" s="24">
        <v>7922563</v>
      </c>
      <c r="D83" s="24"/>
      <c r="E83" s="24">
        <v>18481183</v>
      </c>
      <c r="F83" s="24"/>
      <c r="G83" s="24">
        <v>251500</v>
      </c>
      <c r="H83" s="24"/>
      <c r="I83" s="24">
        <f>2701822+3851216+463635+237065</f>
        <v>7253738</v>
      </c>
      <c r="J83" s="24"/>
      <c r="K83" s="143">
        <f>8865080+1767134</f>
        <v>10632214</v>
      </c>
      <c r="L83" s="24"/>
      <c r="M83" s="24">
        <v>0</v>
      </c>
      <c r="N83" s="24"/>
      <c r="O83" s="24">
        <v>3235806</v>
      </c>
      <c r="P83" s="24"/>
      <c r="Q83" s="24">
        <v>97860</v>
      </c>
      <c r="R83" s="24"/>
      <c r="S83" s="24">
        <v>4099210</v>
      </c>
      <c r="T83" s="24"/>
      <c r="U83" s="24">
        <v>0</v>
      </c>
      <c r="V83" s="24"/>
      <c r="W83" s="24">
        <f>SUM(I83:U83)</f>
        <v>25318828</v>
      </c>
      <c r="X83" s="24"/>
      <c r="Y83" s="24">
        <f>SUM(B83:V83)</f>
        <v>51974074</v>
      </c>
    </row>
    <row r="84" spans="1:25" ht="12.75" customHeight="1">
      <c r="A84" s="23" t="s">
        <v>70</v>
      </c>
      <c r="B84" s="23"/>
      <c r="C84" s="24">
        <v>7249948</v>
      </c>
      <c r="D84" s="24"/>
      <c r="E84" s="24">
        <v>23434636</v>
      </c>
      <c r="F84" s="24"/>
      <c r="G84" s="24">
        <v>2264345</v>
      </c>
      <c r="H84" s="24"/>
      <c r="I84" s="24">
        <f>1680306+3445261+729035+89560</f>
        <v>5944162</v>
      </c>
      <c r="J84" s="24"/>
      <c r="K84" s="24">
        <v>10397969</v>
      </c>
      <c r="L84" s="24"/>
      <c r="M84" s="24">
        <f>357079+20974</f>
        <v>378053</v>
      </c>
      <c r="N84" s="24"/>
      <c r="O84" s="24">
        <v>1353462</v>
      </c>
      <c r="P84" s="24"/>
      <c r="Q84" s="24">
        <v>7377</v>
      </c>
      <c r="R84" s="24"/>
      <c r="S84" s="24">
        <v>1115117</v>
      </c>
      <c r="T84" s="24"/>
      <c r="U84" s="24">
        <v>0</v>
      </c>
      <c r="V84" s="24"/>
      <c r="W84" s="24">
        <f aca="true" t="shared" si="3" ref="W84:W98">SUM(I84:U84)</f>
        <v>19196140</v>
      </c>
      <c r="X84" s="24"/>
      <c r="Y84" s="24">
        <f>SUM(B84:V84)</f>
        <v>52145069</v>
      </c>
    </row>
    <row r="85" spans="1:25" ht="12.75" customHeight="1">
      <c r="A85" s="23" t="s">
        <v>71</v>
      </c>
      <c r="B85" s="23"/>
      <c r="C85" s="24">
        <v>6097060</v>
      </c>
      <c r="D85" s="24"/>
      <c r="E85" s="24">
        <v>16493800</v>
      </c>
      <c r="F85" s="24"/>
      <c r="G85" s="24">
        <v>4368882</v>
      </c>
      <c r="H85" s="24"/>
      <c r="I85" s="24">
        <f>1965476+3479166</f>
        <v>5444642</v>
      </c>
      <c r="J85" s="24"/>
      <c r="K85" s="24">
        <v>7929782</v>
      </c>
      <c r="L85" s="24"/>
      <c r="M85" s="24">
        <v>0</v>
      </c>
      <c r="N85" s="24"/>
      <c r="O85" s="24">
        <v>1336203</v>
      </c>
      <c r="P85" s="24"/>
      <c r="Q85" s="24">
        <v>97574</v>
      </c>
      <c r="R85" s="24"/>
      <c r="S85" s="24">
        <f>55+641993</f>
        <v>642048</v>
      </c>
      <c r="T85" s="24"/>
      <c r="U85" s="24">
        <v>-254862</v>
      </c>
      <c r="V85" s="24"/>
      <c r="W85" s="24">
        <f t="shared" si="3"/>
        <v>15195387</v>
      </c>
      <c r="X85" s="24"/>
      <c r="Y85" s="24">
        <f>SUM(B85:V85)</f>
        <v>42155129</v>
      </c>
    </row>
    <row r="86" spans="1:25" ht="12.75" customHeight="1">
      <c r="A86" s="23" t="s">
        <v>72</v>
      </c>
      <c r="B86" s="23"/>
      <c r="C86" s="24">
        <v>6237970</v>
      </c>
      <c r="D86" s="24"/>
      <c r="E86" s="24">
        <v>11391380</v>
      </c>
      <c r="F86" s="24"/>
      <c r="G86" s="24">
        <v>653</v>
      </c>
      <c r="H86" s="24"/>
      <c r="I86" s="24">
        <f>1886093+4043304</f>
        <v>5929397</v>
      </c>
      <c r="J86" s="24"/>
      <c r="K86" s="24">
        <f>3761045+1245983+2511426</f>
        <v>7518454</v>
      </c>
      <c r="L86" s="24"/>
      <c r="M86" s="24">
        <v>147949</v>
      </c>
      <c r="N86" s="24"/>
      <c r="O86" s="24">
        <v>3837378</v>
      </c>
      <c r="P86" s="24"/>
      <c r="Q86" s="24">
        <v>142654</v>
      </c>
      <c r="R86" s="24"/>
      <c r="S86" s="24">
        <f>57485+11022</f>
        <v>68507</v>
      </c>
      <c r="T86" s="24"/>
      <c r="U86" s="24">
        <v>18000</v>
      </c>
      <c r="V86" s="24"/>
      <c r="W86" s="24">
        <f t="shared" si="3"/>
        <v>17662339</v>
      </c>
      <c r="X86" s="44"/>
      <c r="Y86" s="24">
        <f t="shared" si="2"/>
        <v>35292342</v>
      </c>
    </row>
    <row r="87" spans="1:25" ht="12.75" customHeight="1">
      <c r="A87" s="23" t="s">
        <v>73</v>
      </c>
      <c r="B87" s="23"/>
      <c r="C87" s="24">
        <v>26306502</v>
      </c>
      <c r="D87" s="24"/>
      <c r="E87" s="24">
        <v>110078692</v>
      </c>
      <c r="F87" s="24"/>
      <c r="G87" s="24">
        <v>8113840</v>
      </c>
      <c r="H87" s="24"/>
      <c r="I87" s="24">
        <f>13628623+28337364+536497+6230441+8285663</f>
        <v>57018588</v>
      </c>
      <c r="J87" s="24"/>
      <c r="K87" s="24">
        <v>9495492</v>
      </c>
      <c r="L87" s="24"/>
      <c r="M87" s="24">
        <v>0</v>
      </c>
      <c r="N87" s="24"/>
      <c r="O87" s="24">
        <v>8864042</v>
      </c>
      <c r="P87" s="24"/>
      <c r="Q87" s="24">
        <v>1540817</v>
      </c>
      <c r="R87" s="24"/>
      <c r="S87" s="24">
        <v>6722592</v>
      </c>
      <c r="T87" s="24"/>
      <c r="U87" s="24">
        <v>-14462</v>
      </c>
      <c r="V87" s="24"/>
      <c r="W87" s="24">
        <f t="shared" si="3"/>
        <v>83627069</v>
      </c>
      <c r="X87" s="24"/>
      <c r="Y87" s="24">
        <f t="shared" si="2"/>
        <v>228126103</v>
      </c>
    </row>
    <row r="88" spans="1:25" ht="12.75" customHeight="1">
      <c r="A88" s="23" t="s">
        <v>74</v>
      </c>
      <c r="B88" s="23"/>
      <c r="C88" s="24">
        <v>56779874</v>
      </c>
      <c r="D88" s="24"/>
      <c r="E88" s="24">
        <v>196439103</v>
      </c>
      <c r="F88" s="24"/>
      <c r="G88" s="24">
        <v>2248471</v>
      </c>
      <c r="H88" s="24"/>
      <c r="I88" s="24">
        <f>130747982+4883019</f>
        <v>135631001</v>
      </c>
      <c r="J88" s="24"/>
      <c r="K88" s="24">
        <v>34722738</v>
      </c>
      <c r="L88" s="24"/>
      <c r="M88" s="24">
        <f>4908965+3939559</f>
        <v>8848524</v>
      </c>
      <c r="N88" s="24"/>
      <c r="O88" s="24">
        <v>22998200</v>
      </c>
      <c r="P88" s="24"/>
      <c r="Q88" s="24">
        <v>4208259</v>
      </c>
      <c r="R88" s="24"/>
      <c r="S88" s="24">
        <v>4956646</v>
      </c>
      <c r="T88" s="24"/>
      <c r="U88" s="24">
        <v>1829457</v>
      </c>
      <c r="V88" s="24"/>
      <c r="W88" s="24">
        <f t="shared" si="3"/>
        <v>213194825</v>
      </c>
      <c r="X88" s="24"/>
      <c r="Y88" s="24">
        <f t="shared" si="2"/>
        <v>468662273</v>
      </c>
    </row>
    <row r="89" spans="1:25" ht="12.75" customHeight="1">
      <c r="A89" s="23" t="s">
        <v>75</v>
      </c>
      <c r="B89" s="23"/>
      <c r="C89" s="24">
        <v>59533220</v>
      </c>
      <c r="D89" s="24"/>
      <c r="E89" s="24">
        <v>68614046</v>
      </c>
      <c r="F89" s="24"/>
      <c r="G89" s="24">
        <v>0</v>
      </c>
      <c r="H89" s="24"/>
      <c r="I89" s="24">
        <f>6129124+17114983+2973352+6600588+2035101</f>
        <v>34853148</v>
      </c>
      <c r="J89" s="24"/>
      <c r="K89" s="24">
        <f>17107236+1122640</f>
        <v>18229876</v>
      </c>
      <c r="L89" s="24"/>
      <c r="M89" s="24">
        <v>0</v>
      </c>
      <c r="N89" s="24"/>
      <c r="O89" s="24">
        <v>5343525</v>
      </c>
      <c r="P89" s="24"/>
      <c r="Q89" s="24">
        <v>396623</v>
      </c>
      <c r="R89" s="24"/>
      <c r="S89" s="24">
        <f>12196+760+1271696</f>
        <v>1284652</v>
      </c>
      <c r="T89" s="24"/>
      <c r="U89" s="24">
        <v>694894</v>
      </c>
      <c r="V89" s="24"/>
      <c r="W89" s="24">
        <f t="shared" si="3"/>
        <v>60802718</v>
      </c>
      <c r="X89" s="24"/>
      <c r="Y89" s="24">
        <f t="shared" si="2"/>
        <v>188949984</v>
      </c>
    </row>
    <row r="90" spans="1:25" ht="12.75" customHeight="1">
      <c r="A90" s="23" t="s">
        <v>76</v>
      </c>
      <c r="B90" s="23"/>
      <c r="C90" s="24">
        <v>7954114</v>
      </c>
      <c r="D90" s="24"/>
      <c r="E90" s="24">
        <v>14298485</v>
      </c>
      <c r="F90" s="24"/>
      <c r="G90" s="24">
        <v>1602996</v>
      </c>
      <c r="H90" s="24"/>
      <c r="I90" s="24">
        <f>3606481+4383060+982557+377120</f>
        <v>9349218</v>
      </c>
      <c r="J90" s="24"/>
      <c r="K90" s="24">
        <v>9824850</v>
      </c>
      <c r="L90" s="24"/>
      <c r="M90" s="24">
        <v>0</v>
      </c>
      <c r="N90" s="24"/>
      <c r="O90" s="24">
        <v>6471898</v>
      </c>
      <c r="P90" s="24"/>
      <c r="Q90" s="24">
        <v>252246</v>
      </c>
      <c r="R90" s="24"/>
      <c r="S90" s="24">
        <v>1835008</v>
      </c>
      <c r="T90" s="24"/>
      <c r="U90" s="24">
        <v>0</v>
      </c>
      <c r="V90" s="24"/>
      <c r="W90" s="24">
        <f t="shared" si="3"/>
        <v>27733220</v>
      </c>
      <c r="X90" s="24"/>
      <c r="Y90" s="24">
        <f t="shared" si="2"/>
        <v>51588815</v>
      </c>
    </row>
    <row r="91" spans="1:25" ht="12.75" customHeight="1">
      <c r="A91" s="23" t="s">
        <v>77</v>
      </c>
      <c r="B91" s="23"/>
      <c r="C91" s="24">
        <v>6688907</v>
      </c>
      <c r="D91" s="24"/>
      <c r="E91" s="24">
        <v>15719084</v>
      </c>
      <c r="F91" s="24"/>
      <c r="G91" s="24">
        <v>3543127</v>
      </c>
      <c r="H91" s="24"/>
      <c r="I91" s="24">
        <f>3709565+5288613+730639+523081</f>
        <v>10251898</v>
      </c>
      <c r="J91" s="24"/>
      <c r="K91" s="24">
        <f>8209280+1061815+1061816</f>
        <v>10332911</v>
      </c>
      <c r="L91" s="24"/>
      <c r="M91" s="24">
        <v>0</v>
      </c>
      <c r="N91" s="24"/>
      <c r="O91" s="24">
        <v>4919814</v>
      </c>
      <c r="P91" s="24"/>
      <c r="Q91" s="24">
        <v>657302</v>
      </c>
      <c r="R91" s="24"/>
      <c r="S91" s="24">
        <v>729107</v>
      </c>
      <c r="T91" s="24"/>
      <c r="U91" s="24">
        <v>-8458</v>
      </c>
      <c r="V91" s="24"/>
      <c r="W91" s="24">
        <f t="shared" si="3"/>
        <v>26882574</v>
      </c>
      <c r="X91" s="24"/>
      <c r="Y91" s="24">
        <f t="shared" si="2"/>
        <v>52833692</v>
      </c>
    </row>
    <row r="92" spans="1:25" ht="12.75" customHeight="1">
      <c r="A92" s="23" t="s">
        <v>78</v>
      </c>
      <c r="B92" s="23"/>
      <c r="C92" s="24">
        <v>3407486</v>
      </c>
      <c r="D92" s="24"/>
      <c r="E92" s="24">
        <v>8875017</v>
      </c>
      <c r="F92" s="24"/>
      <c r="G92" s="24">
        <v>802641</v>
      </c>
      <c r="H92" s="24"/>
      <c r="I92" s="24">
        <f>944985+1384932+851502</f>
        <v>3181419</v>
      </c>
      <c r="J92" s="24"/>
      <c r="K92" s="24">
        <v>3558204</v>
      </c>
      <c r="L92" s="24"/>
      <c r="M92" s="24">
        <v>93424</v>
      </c>
      <c r="N92" s="24"/>
      <c r="O92" s="24">
        <v>1424540</v>
      </c>
      <c r="P92" s="24"/>
      <c r="Q92" s="24">
        <v>114616</v>
      </c>
      <c r="R92" s="24"/>
      <c r="S92" s="24">
        <f>392309+61852</f>
        <v>454161</v>
      </c>
      <c r="T92" s="24"/>
      <c r="U92" s="24">
        <v>0</v>
      </c>
      <c r="V92" s="24"/>
      <c r="W92" s="24">
        <f t="shared" si="3"/>
        <v>8826364</v>
      </c>
      <c r="X92" s="24"/>
      <c r="Y92" s="24">
        <f t="shared" si="2"/>
        <v>21911508</v>
      </c>
    </row>
    <row r="93" spans="1:25" ht="12.75" customHeight="1" hidden="1">
      <c r="A93" s="23" t="s">
        <v>79</v>
      </c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>
        <f t="shared" si="3"/>
        <v>0</v>
      </c>
      <c r="X93" s="24"/>
      <c r="Y93" s="24">
        <f t="shared" si="2"/>
        <v>0</v>
      </c>
    </row>
    <row r="94" spans="1:25" ht="12.75" customHeight="1">
      <c r="A94" s="23" t="s">
        <v>80</v>
      </c>
      <c r="B94" s="23"/>
      <c r="C94" s="24">
        <v>17300597</v>
      </c>
      <c r="D94" s="24"/>
      <c r="E94" s="24">
        <v>16295747</v>
      </c>
      <c r="F94" s="24"/>
      <c r="G94" s="24">
        <v>5118467</v>
      </c>
      <c r="H94" s="24"/>
      <c r="I94" s="24">
        <v>33514620</v>
      </c>
      <c r="J94" s="24"/>
      <c r="K94" s="24">
        <v>28359838</v>
      </c>
      <c r="L94" s="24"/>
      <c r="M94" s="24">
        <f>86772+8706206</f>
        <v>8792978</v>
      </c>
      <c r="N94" s="24"/>
      <c r="O94" s="24">
        <v>7768143</v>
      </c>
      <c r="P94" s="24"/>
      <c r="Q94" s="24">
        <v>2050124</v>
      </c>
      <c r="R94" s="24"/>
      <c r="S94" s="24">
        <v>-15591</v>
      </c>
      <c r="T94" s="24"/>
      <c r="U94" s="24">
        <v>-606261</v>
      </c>
      <c r="V94" s="24"/>
      <c r="W94" s="24">
        <f>SUM(I94:U94)</f>
        <v>79863851</v>
      </c>
      <c r="X94" s="24"/>
      <c r="Y94" s="24">
        <f aca="true" t="shared" si="4" ref="Y94:Y99">SUM(B94:V94)</f>
        <v>118578662</v>
      </c>
    </row>
    <row r="95" spans="1:25" ht="12.75" customHeight="1">
      <c r="A95" s="23" t="s">
        <v>81</v>
      </c>
      <c r="B95" s="23"/>
      <c r="C95" s="24">
        <v>6208322</v>
      </c>
      <c r="D95" s="24"/>
      <c r="E95" s="24">
        <v>24223570</v>
      </c>
      <c r="F95" s="24"/>
      <c r="G95" s="24">
        <v>114850</v>
      </c>
      <c r="H95" s="24"/>
      <c r="I95" s="24">
        <f>2104018+1844964+3023919+785308+528031</f>
        <v>8286240</v>
      </c>
      <c r="J95" s="24"/>
      <c r="K95" s="24">
        <v>10535832</v>
      </c>
      <c r="L95" s="24"/>
      <c r="M95" s="24">
        <v>0</v>
      </c>
      <c r="N95" s="24"/>
      <c r="O95" s="24">
        <v>1553038</v>
      </c>
      <c r="P95" s="24"/>
      <c r="Q95" s="24">
        <v>637784</v>
      </c>
      <c r="R95" s="24"/>
      <c r="S95" s="24">
        <f>83915+3643+22761+449168</f>
        <v>559487</v>
      </c>
      <c r="T95" s="24"/>
      <c r="U95" s="24">
        <v>0</v>
      </c>
      <c r="V95" s="24"/>
      <c r="W95" s="24">
        <f t="shared" si="3"/>
        <v>21572381</v>
      </c>
      <c r="X95" s="24"/>
      <c r="Y95" s="24">
        <f t="shared" si="4"/>
        <v>52119123</v>
      </c>
    </row>
    <row r="96" spans="1:25" ht="12.75" customHeight="1">
      <c r="A96" s="23" t="s">
        <v>82</v>
      </c>
      <c r="B96" s="23"/>
      <c r="C96" s="24">
        <v>12857278</v>
      </c>
      <c r="D96" s="24"/>
      <c r="E96" s="24">
        <v>21703825</v>
      </c>
      <c r="F96" s="24"/>
      <c r="G96" s="24">
        <v>1228109</v>
      </c>
      <c r="H96" s="24"/>
      <c r="I96" s="24">
        <f>3734666+5606589+3026597+1235708</f>
        <v>13603560</v>
      </c>
      <c r="J96" s="24"/>
      <c r="K96" s="24">
        <v>10113622</v>
      </c>
      <c r="L96" s="24"/>
      <c r="M96" s="24">
        <v>0</v>
      </c>
      <c r="N96" s="24"/>
      <c r="O96" s="24">
        <v>2193033</v>
      </c>
      <c r="P96" s="24"/>
      <c r="Q96" s="24">
        <v>424329</v>
      </c>
      <c r="R96" s="24"/>
      <c r="S96" s="24">
        <f>118648+162690</f>
        <v>281338</v>
      </c>
      <c r="T96" s="24"/>
      <c r="U96" s="24">
        <v>0</v>
      </c>
      <c r="V96" s="24"/>
      <c r="W96" s="24">
        <f t="shared" si="3"/>
        <v>26615882</v>
      </c>
      <c r="X96" s="24"/>
      <c r="Y96" s="24">
        <f t="shared" si="4"/>
        <v>62405094</v>
      </c>
    </row>
    <row r="97" spans="1:25" ht="12.75" customHeight="1" hidden="1">
      <c r="A97" s="23" t="s">
        <v>173</v>
      </c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>
        <f t="shared" si="3"/>
        <v>0</v>
      </c>
      <c r="X97" s="24"/>
      <c r="Y97" s="24">
        <f t="shared" si="4"/>
        <v>0</v>
      </c>
    </row>
    <row r="98" spans="1:25" ht="12.75" customHeight="1">
      <c r="A98" s="23" t="s">
        <v>83</v>
      </c>
      <c r="B98" s="23"/>
      <c r="C98" s="24">
        <v>18866234</v>
      </c>
      <c r="D98" s="24"/>
      <c r="E98" s="24">
        <v>37653165</v>
      </c>
      <c r="F98" s="24"/>
      <c r="G98" s="24">
        <v>630347</v>
      </c>
      <c r="H98" s="24"/>
      <c r="I98" s="24">
        <f>5911834+6141757+246375+10170679+1744844+125778</f>
        <v>24341267</v>
      </c>
      <c r="J98" s="24"/>
      <c r="K98" s="24">
        <v>16721733</v>
      </c>
      <c r="L98" s="24"/>
      <c r="M98" s="24">
        <v>111339</v>
      </c>
      <c r="N98" s="24"/>
      <c r="O98" s="24">
        <v>2643316</v>
      </c>
      <c r="P98" s="24"/>
      <c r="Q98" s="24">
        <v>2147839</v>
      </c>
      <c r="R98" s="24"/>
      <c r="S98" s="24">
        <v>1368804</v>
      </c>
      <c r="T98" s="24"/>
      <c r="U98" s="24">
        <v>-143303</v>
      </c>
      <c r="V98" s="24"/>
      <c r="W98" s="24">
        <f t="shared" si="3"/>
        <v>47190995</v>
      </c>
      <c r="X98" s="24"/>
      <c r="Y98" s="24">
        <f t="shared" si="4"/>
        <v>104340741</v>
      </c>
    </row>
    <row r="99" spans="1:25" ht="12.75" customHeight="1" hidden="1">
      <c r="A99" s="23" t="s">
        <v>174</v>
      </c>
      <c r="B99" s="23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24">
        <v>0</v>
      </c>
      <c r="P99" s="24"/>
      <c r="Q99" s="24">
        <v>0</v>
      </c>
      <c r="R99" s="24"/>
      <c r="S99" s="24">
        <v>0</v>
      </c>
      <c r="T99" s="24"/>
      <c r="U99" s="24">
        <v>0</v>
      </c>
      <c r="V99" s="24"/>
      <c r="W99" s="24">
        <f>SUM(I99:U99)</f>
        <v>0</v>
      </c>
      <c r="X99" s="24"/>
      <c r="Y99" s="24">
        <f t="shared" si="4"/>
        <v>0</v>
      </c>
    </row>
    <row r="100" spans="1:25" ht="12.75" customHeight="1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2.75" customHeight="1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12.75" customHeight="1">
      <c r="A102" s="33"/>
      <c r="B102" s="3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2" customHeight="1">
      <c r="A103" s="33"/>
      <c r="B103" s="3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</sheetData>
  <sheetProtection/>
  <printOptions/>
  <pageMargins left="1" right="1" top="0.5" bottom="0.5" header="0" footer="0.25"/>
  <pageSetup firstPageNumber="8" useFirstPageNumber="1" horizontalDpi="600" verticalDpi="600" orientation="portrait" pageOrder="overThenDown" scale="91" r:id="rId1"/>
  <headerFooter scaleWithDoc="0" alignWithMargins="0">
    <oddFooter>&amp;C&amp;"Times New Roman,Regular"&amp;11&amp;P</oddFooter>
  </headerFooter>
  <rowBreaks count="1" manualBreakCount="1">
    <brk id="80" max="24" man="1"/>
  </rowBreaks>
  <colBreaks count="1" manualBreakCount="1">
    <brk id="13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H110"/>
  <sheetViews>
    <sheetView view="pageBreakPreview" zoomScaleNormal="120" zoomScaleSheetLayoutView="100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E6" sqref="E6"/>
    </sheetView>
  </sheetViews>
  <sheetFormatPr defaultColWidth="9.140625" defaultRowHeight="12" customHeight="1"/>
  <cols>
    <col min="1" max="1" width="15.7109375" style="97" customWidth="1"/>
    <col min="2" max="2" width="1.7109375" style="26" customWidth="1"/>
    <col min="3" max="3" width="11.7109375" style="26" customWidth="1"/>
    <col min="4" max="4" width="1.7109375" style="26" customWidth="1"/>
    <col min="5" max="5" width="11.7109375" style="26" customWidth="1"/>
    <col min="6" max="6" width="1.7109375" style="26" customWidth="1"/>
    <col min="7" max="7" width="11.7109375" style="26" customWidth="1"/>
    <col min="8" max="8" width="1.7109375" style="26" customWidth="1"/>
    <col min="9" max="9" width="11.7109375" style="26" customWidth="1"/>
    <col min="10" max="10" width="1.7109375" style="26" customWidth="1"/>
    <col min="11" max="11" width="11.7109375" style="26" customWidth="1"/>
    <col min="12" max="12" width="1.7109375" style="26" customWidth="1"/>
    <col min="13" max="13" width="11.7109375" style="26" customWidth="1"/>
    <col min="14" max="14" width="1.7109375" style="26" hidden="1" customWidth="1"/>
    <col min="15" max="15" width="11.7109375" style="26" customWidth="1"/>
    <col min="16" max="16" width="1.7109375" style="26" customWidth="1"/>
    <col min="17" max="17" width="11.7109375" style="26" customWidth="1"/>
    <col min="18" max="18" width="1.7109375" style="26" customWidth="1"/>
    <col min="19" max="19" width="11.7109375" style="26" customWidth="1"/>
    <col min="20" max="20" width="1.7109375" style="26" customWidth="1"/>
    <col min="21" max="21" width="11.7109375" style="26" customWidth="1"/>
    <col min="22" max="22" width="1.7109375" style="26" customWidth="1"/>
    <col min="23" max="23" width="11.7109375" style="26" customWidth="1"/>
    <col min="24" max="24" width="1.7109375" style="26" customWidth="1"/>
    <col min="25" max="25" width="11.7109375" style="97" customWidth="1"/>
    <col min="26" max="26" width="2.7109375" style="26" customWidth="1"/>
    <col min="27" max="27" width="12.7109375" style="26" customWidth="1"/>
    <col min="28" max="28" width="2.7109375" style="26" customWidth="1"/>
    <col min="29" max="29" width="12.7109375" style="26" customWidth="1"/>
    <col min="30" max="30" width="2.7109375" style="26" customWidth="1"/>
    <col min="31" max="32" width="12.7109375" style="97" customWidth="1"/>
    <col min="33" max="33" width="9.8515625" style="26" bestFit="1" customWidth="1"/>
    <col min="34" max="16384" width="9.140625" style="26" customWidth="1"/>
  </cols>
  <sheetData>
    <row r="1" spans="1:33" ht="12.75" customHeight="1">
      <c r="A1" s="49" t="s">
        <v>232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8"/>
      <c r="AG1" s="28"/>
    </row>
    <row r="2" spans="1:33" ht="12.75" customHeight="1">
      <c r="A2" s="49" t="s">
        <v>252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8"/>
      <c r="AG2" s="28"/>
    </row>
    <row r="3" spans="1:33" ht="12.75" customHeight="1">
      <c r="A3" s="49" t="s">
        <v>247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8"/>
      <c r="AG3" s="28"/>
    </row>
    <row r="4" spans="1:33" ht="12.75" customHeight="1">
      <c r="A4" s="49" t="s">
        <v>183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8"/>
      <c r="AG4" s="28"/>
    </row>
    <row r="5" spans="1:33" ht="12.75" customHeight="1">
      <c r="A5" s="3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8"/>
      <c r="AG5" s="28"/>
    </row>
    <row r="6" spans="1:33" ht="12.75" customHeight="1">
      <c r="A6" s="49"/>
      <c r="B6" s="24"/>
      <c r="C6" s="50" t="s">
        <v>145</v>
      </c>
      <c r="D6" s="50"/>
      <c r="E6" s="50"/>
      <c r="F6" s="50"/>
      <c r="G6" s="50"/>
      <c r="H6" s="50"/>
      <c r="I6" s="50"/>
      <c r="J6" s="50"/>
      <c r="K6" s="50"/>
      <c r="L6" s="54" t="s">
        <v>193</v>
      </c>
      <c r="M6" s="50"/>
      <c r="N6" s="51"/>
      <c r="O6" s="50"/>
      <c r="P6" s="50"/>
      <c r="Q6" s="50"/>
      <c r="R6" s="50"/>
      <c r="S6" s="50"/>
      <c r="T6" s="50"/>
      <c r="U6" s="50"/>
      <c r="V6" s="50"/>
      <c r="W6" s="50"/>
      <c r="X6" s="51"/>
      <c r="Y6" s="24"/>
      <c r="Z6" s="24"/>
      <c r="AA6" s="24"/>
      <c r="AB6" s="24"/>
      <c r="AC6" s="24"/>
      <c r="AD6" s="24"/>
      <c r="AE6" s="24"/>
      <c r="AF6" s="28"/>
      <c r="AG6" s="28"/>
    </row>
    <row r="7" spans="1:33" ht="12.75" customHeight="1">
      <c r="A7" s="19"/>
      <c r="B7" s="24"/>
      <c r="C7" s="21" t="s">
        <v>184</v>
      </c>
      <c r="D7" s="21"/>
      <c r="E7" s="21"/>
      <c r="F7" s="21"/>
      <c r="G7" s="21" t="s">
        <v>84</v>
      </c>
      <c r="H7" s="21"/>
      <c r="I7" s="21" t="s">
        <v>84</v>
      </c>
      <c r="J7" s="21"/>
      <c r="K7" s="21"/>
      <c r="L7" s="21"/>
      <c r="M7" s="21" t="s">
        <v>85</v>
      </c>
      <c r="N7" s="21"/>
      <c r="O7" s="21" t="s">
        <v>164</v>
      </c>
      <c r="P7" s="21"/>
      <c r="Q7" s="21" t="s">
        <v>86</v>
      </c>
      <c r="R7" s="21"/>
      <c r="S7" s="21"/>
      <c r="T7" s="21"/>
      <c r="U7" s="21" t="s">
        <v>1</v>
      </c>
      <c r="V7" s="21"/>
      <c r="W7" s="52" t="s">
        <v>100</v>
      </c>
      <c r="X7" s="52"/>
      <c r="Y7" s="52"/>
      <c r="Z7" s="52"/>
      <c r="AA7" s="52" t="s">
        <v>149</v>
      </c>
      <c r="AB7" s="52"/>
      <c r="AC7" s="52" t="s">
        <v>137</v>
      </c>
      <c r="AD7" s="52"/>
      <c r="AE7" s="52" t="s">
        <v>137</v>
      </c>
      <c r="AF7" s="28"/>
      <c r="AG7" s="28"/>
    </row>
    <row r="8" spans="1:33" ht="12.75" customHeight="1">
      <c r="A8" s="53" t="s">
        <v>5</v>
      </c>
      <c r="B8" s="24"/>
      <c r="C8" s="55" t="s">
        <v>185</v>
      </c>
      <c r="D8" s="24"/>
      <c r="E8" s="55" t="s">
        <v>88</v>
      </c>
      <c r="F8" s="24"/>
      <c r="G8" s="55" t="s">
        <v>89</v>
      </c>
      <c r="H8" s="24"/>
      <c r="I8" s="55" t="s">
        <v>90</v>
      </c>
      <c r="J8" s="24"/>
      <c r="K8" s="55" t="s">
        <v>91</v>
      </c>
      <c r="L8" s="24"/>
      <c r="M8" s="55" t="s">
        <v>8</v>
      </c>
      <c r="N8" s="24"/>
      <c r="O8" s="55" t="s">
        <v>165</v>
      </c>
      <c r="P8" s="24"/>
      <c r="Q8" s="55" t="s">
        <v>188</v>
      </c>
      <c r="R8" s="24"/>
      <c r="S8" s="55" t="s">
        <v>105</v>
      </c>
      <c r="T8" s="24"/>
      <c r="U8" s="55" t="s">
        <v>9</v>
      </c>
      <c r="V8" s="24"/>
      <c r="W8" s="20" t="s">
        <v>95</v>
      </c>
      <c r="X8" s="24"/>
      <c r="Y8" s="20" t="s">
        <v>4</v>
      </c>
      <c r="Z8" s="24"/>
      <c r="AA8" s="20" t="s">
        <v>137</v>
      </c>
      <c r="AB8" s="24"/>
      <c r="AC8" s="56">
        <v>40179</v>
      </c>
      <c r="AD8" s="24"/>
      <c r="AE8" s="56">
        <v>40543</v>
      </c>
      <c r="AF8" s="28" t="s">
        <v>205</v>
      </c>
      <c r="AG8" s="28"/>
    </row>
    <row r="9" spans="1:33" ht="12.75" customHeight="1">
      <c r="A9" s="19"/>
      <c r="B9" s="24"/>
      <c r="C9" s="21"/>
      <c r="D9" s="24"/>
      <c r="E9" s="21"/>
      <c r="F9" s="24"/>
      <c r="G9" s="21"/>
      <c r="H9" s="24"/>
      <c r="I9" s="21"/>
      <c r="J9" s="24"/>
      <c r="K9" s="21"/>
      <c r="L9" s="24"/>
      <c r="M9" s="21"/>
      <c r="N9" s="24"/>
      <c r="O9" s="21"/>
      <c r="P9" s="24"/>
      <c r="Q9" s="21"/>
      <c r="R9" s="24"/>
      <c r="S9" s="21"/>
      <c r="T9" s="24"/>
      <c r="U9" s="21"/>
      <c r="V9" s="24"/>
      <c r="W9" s="21"/>
      <c r="X9" s="24"/>
      <c r="Y9" s="21"/>
      <c r="Z9" s="24"/>
      <c r="AA9" s="21"/>
      <c r="AB9" s="24"/>
      <c r="AC9" s="27"/>
      <c r="AD9" s="24"/>
      <c r="AE9" s="27"/>
      <c r="AF9" s="28"/>
      <c r="AG9" s="28"/>
    </row>
    <row r="10" spans="1:33" ht="12.75" customHeight="1" hidden="1">
      <c r="A10" s="89" t="s">
        <v>235</v>
      </c>
      <c r="B10" s="24"/>
      <c r="C10" s="44">
        <v>2621758</v>
      </c>
      <c r="D10" s="44"/>
      <c r="E10" s="44">
        <v>1356301</v>
      </c>
      <c r="F10" s="44"/>
      <c r="G10" s="44">
        <v>2563519</v>
      </c>
      <c r="H10" s="44"/>
      <c r="I10" s="44">
        <v>5452725</v>
      </c>
      <c r="J10" s="44"/>
      <c r="K10" s="44">
        <v>3284240</v>
      </c>
      <c r="L10" s="44"/>
      <c r="M10" s="44">
        <v>5663296</v>
      </c>
      <c r="N10" s="44"/>
      <c r="O10" s="44">
        <v>0</v>
      </c>
      <c r="P10" s="44"/>
      <c r="Q10" s="44">
        <v>0</v>
      </c>
      <c r="R10" s="44"/>
      <c r="S10" s="44">
        <f>1414018+678282</f>
        <v>2092300</v>
      </c>
      <c r="T10" s="44"/>
      <c r="U10" s="44">
        <v>0</v>
      </c>
      <c r="V10" s="44"/>
      <c r="W10" s="44">
        <v>28584</v>
      </c>
      <c r="X10" s="44"/>
      <c r="Y10" s="44">
        <f>SUM(C10:W10)</f>
        <v>23062723</v>
      </c>
      <c r="Z10" s="24"/>
      <c r="AA10" s="44">
        <v>748867</v>
      </c>
      <c r="AB10" s="24"/>
      <c r="AC10" s="44">
        <v>10385313</v>
      </c>
      <c r="AD10" s="24"/>
      <c r="AE10" s="24">
        <f>+AC10+AA10</f>
        <v>11134180</v>
      </c>
      <c r="AF10" s="25">
        <f>+'St of Net Assets - GA'!W10-'St of Activities - GA Exp'!AE10</f>
        <v>0</v>
      </c>
      <c r="AG10" s="28"/>
    </row>
    <row r="11" spans="1:33" ht="12.75" customHeight="1">
      <c r="A11" s="23" t="s">
        <v>13</v>
      </c>
      <c r="B11" s="24"/>
      <c r="C11" s="44">
        <v>13910177</v>
      </c>
      <c r="D11" s="44"/>
      <c r="E11" s="44">
        <v>8948301</v>
      </c>
      <c r="F11" s="44"/>
      <c r="G11" s="44">
        <v>10765774</v>
      </c>
      <c r="H11" s="44"/>
      <c r="I11" s="44">
        <f>8742603+2297710</f>
        <v>11040313</v>
      </c>
      <c r="J11" s="44"/>
      <c r="K11" s="44">
        <f>14553369+1187344</f>
        <v>15740713</v>
      </c>
      <c r="L11" s="44"/>
      <c r="M11" s="44">
        <f>8433338+6186857</f>
        <v>14620195</v>
      </c>
      <c r="N11" s="44"/>
      <c r="O11" s="44">
        <v>0</v>
      </c>
      <c r="P11" s="44"/>
      <c r="Q11" s="44">
        <v>1471045</v>
      </c>
      <c r="R11" s="44"/>
      <c r="S11" s="44">
        <v>30990</v>
      </c>
      <c r="T11" s="44"/>
      <c r="U11" s="44">
        <v>168803</v>
      </c>
      <c r="V11" s="44"/>
      <c r="W11" s="44">
        <v>876281</v>
      </c>
      <c r="X11" s="44"/>
      <c r="Y11" s="44">
        <f>SUM(C11:W11)</f>
        <v>77572592</v>
      </c>
      <c r="Z11" s="24"/>
      <c r="AA11" s="44">
        <v>20340</v>
      </c>
      <c r="AB11" s="24"/>
      <c r="AC11" s="44">
        <v>83732968</v>
      </c>
      <c r="AD11" s="24"/>
      <c r="AE11" s="24">
        <f>+AC11+AA11</f>
        <v>83753308</v>
      </c>
      <c r="AF11" s="25">
        <f>+'St of Net Assets - GA'!W11-'St of Activities - GA Exp'!AE11</f>
        <v>0</v>
      </c>
      <c r="AG11" s="28"/>
    </row>
    <row r="12" spans="1:33" ht="12.75" customHeight="1">
      <c r="A12" s="23" t="s">
        <v>14</v>
      </c>
      <c r="B12" s="24"/>
      <c r="C12" s="24">
        <v>4895792</v>
      </c>
      <c r="D12" s="24"/>
      <c r="E12" s="24">
        <v>1819618</v>
      </c>
      <c r="F12" s="24"/>
      <c r="G12" s="24">
        <f>5741701+275139</f>
        <v>6016840</v>
      </c>
      <c r="H12" s="24"/>
      <c r="I12" s="24">
        <v>6512307</v>
      </c>
      <c r="J12" s="24"/>
      <c r="K12" s="24">
        <f>4229053+6627373+937698</f>
        <v>11794124</v>
      </c>
      <c r="L12" s="24"/>
      <c r="M12" s="24">
        <f>1495667+3008457+1634788</f>
        <v>6138912</v>
      </c>
      <c r="N12" s="24"/>
      <c r="O12" s="24">
        <v>0</v>
      </c>
      <c r="P12" s="24"/>
      <c r="Q12" s="24">
        <v>50349</v>
      </c>
      <c r="R12" s="24"/>
      <c r="S12" s="24">
        <v>31280</v>
      </c>
      <c r="T12" s="24"/>
      <c r="U12" s="24">
        <v>167095</v>
      </c>
      <c r="V12" s="24"/>
      <c r="W12" s="24">
        <v>200035</v>
      </c>
      <c r="X12" s="24"/>
      <c r="Y12" s="24">
        <f aca="true" t="shared" si="0" ref="Y12:Y28">SUM(C12:W12)</f>
        <v>37626352</v>
      </c>
      <c r="Z12" s="24"/>
      <c r="AA12" s="24">
        <v>-1288110</v>
      </c>
      <c r="AB12" s="24"/>
      <c r="AC12" s="24">
        <v>60406064</v>
      </c>
      <c r="AD12" s="24"/>
      <c r="AE12" s="24">
        <f aca="true" t="shared" si="1" ref="AE12:AE28">+AC12+AA12</f>
        <v>59117954</v>
      </c>
      <c r="AF12" s="25">
        <f>+'St of Net Assets - GA'!W12-'St of Activities - GA Exp'!AE12</f>
        <v>0</v>
      </c>
      <c r="AG12" s="28"/>
    </row>
    <row r="13" spans="1:33" ht="12.75" customHeight="1">
      <c r="A13" s="23" t="s">
        <v>15</v>
      </c>
      <c r="B13" s="24"/>
      <c r="C13" s="24">
        <v>9414588</v>
      </c>
      <c r="D13" s="24"/>
      <c r="E13" s="24">
        <v>4713319</v>
      </c>
      <c r="F13" s="24"/>
      <c r="G13" s="24">
        <v>8303651</v>
      </c>
      <c r="H13" s="24"/>
      <c r="I13" s="24">
        <v>7212773</v>
      </c>
      <c r="J13" s="24"/>
      <c r="K13" s="24">
        <v>25481843</v>
      </c>
      <c r="L13" s="24"/>
      <c r="M13" s="24">
        <v>31080444</v>
      </c>
      <c r="N13" s="24"/>
      <c r="O13" s="24">
        <v>0</v>
      </c>
      <c r="P13" s="24"/>
      <c r="Q13" s="24">
        <v>235974</v>
      </c>
      <c r="R13" s="24"/>
      <c r="S13" s="24">
        <v>0</v>
      </c>
      <c r="T13" s="24"/>
      <c r="U13" s="24">
        <v>0</v>
      </c>
      <c r="V13" s="24"/>
      <c r="W13" s="24">
        <v>420058</v>
      </c>
      <c r="X13" s="24"/>
      <c r="Y13" s="24">
        <f t="shared" si="0"/>
        <v>86862650</v>
      </c>
      <c r="Z13" s="24"/>
      <c r="AA13" s="24">
        <v>3753500</v>
      </c>
      <c r="AB13" s="24"/>
      <c r="AC13" s="24">
        <v>176709181</v>
      </c>
      <c r="AD13" s="24"/>
      <c r="AE13" s="24">
        <f t="shared" si="1"/>
        <v>180462681</v>
      </c>
      <c r="AF13" s="25">
        <f>+'St of Net Assets - GA'!W13-'St of Activities - GA Exp'!AE13</f>
        <v>0</v>
      </c>
      <c r="AG13" s="28"/>
    </row>
    <row r="14" spans="1:33" ht="12.75" customHeight="1" hidden="1">
      <c r="A14" s="2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>
        <f t="shared" si="0"/>
        <v>0</v>
      </c>
      <c r="Z14" s="24"/>
      <c r="AA14" s="24"/>
      <c r="AB14" s="24"/>
      <c r="AC14" s="24"/>
      <c r="AD14" s="24"/>
      <c r="AE14" s="24">
        <f t="shared" si="1"/>
        <v>0</v>
      </c>
      <c r="AF14" s="25">
        <f>+'St of Net Assets - GA'!W14-'St of Activities - GA Exp'!AE14</f>
        <v>0</v>
      </c>
      <c r="AG14" s="28"/>
    </row>
    <row r="15" spans="1:33" ht="12.75" customHeight="1">
      <c r="A15" s="23" t="s">
        <v>17</v>
      </c>
      <c r="B15" s="24"/>
      <c r="C15" s="24">
        <v>4733319</v>
      </c>
      <c r="D15" s="24"/>
      <c r="E15" s="24">
        <v>2166373</v>
      </c>
      <c r="F15" s="24"/>
      <c r="G15" s="24">
        <v>5549463</v>
      </c>
      <c r="H15" s="24"/>
      <c r="I15" s="24">
        <v>6821682</v>
      </c>
      <c r="J15" s="24"/>
      <c r="K15" s="24">
        <v>6399303</v>
      </c>
      <c r="L15" s="24"/>
      <c r="M15" s="24">
        <v>3673087</v>
      </c>
      <c r="N15" s="24"/>
      <c r="O15" s="24">
        <v>0</v>
      </c>
      <c r="P15" s="24"/>
      <c r="Q15" s="24">
        <v>0</v>
      </c>
      <c r="R15" s="24"/>
      <c r="S15" s="24">
        <v>1642963</v>
      </c>
      <c r="T15" s="24"/>
      <c r="U15" s="24">
        <v>0</v>
      </c>
      <c r="V15" s="24"/>
      <c r="W15" s="24">
        <v>68265</v>
      </c>
      <c r="X15" s="24"/>
      <c r="Y15" s="24">
        <f t="shared" si="0"/>
        <v>31054455</v>
      </c>
      <c r="Z15" s="24"/>
      <c r="AA15" s="24">
        <v>-1290296</v>
      </c>
      <c r="AB15" s="24"/>
      <c r="AC15" s="24">
        <v>69590730</v>
      </c>
      <c r="AD15" s="24"/>
      <c r="AE15" s="24">
        <f>+AC15+AA15</f>
        <v>68300434</v>
      </c>
      <c r="AF15" s="25">
        <f>+'St of Net Assets - GA'!W15-'St of Activities - GA Exp'!AE15</f>
        <v>0</v>
      </c>
      <c r="AG15" s="28"/>
    </row>
    <row r="16" spans="1:33" ht="12.75" customHeight="1">
      <c r="A16" s="23" t="s">
        <v>18</v>
      </c>
      <c r="B16" s="24"/>
      <c r="C16" s="24">
        <v>9022739</v>
      </c>
      <c r="D16" s="24"/>
      <c r="E16" s="24">
        <v>3521415</v>
      </c>
      <c r="F16" s="24"/>
      <c r="G16" s="24">
        <v>8701240</v>
      </c>
      <c r="H16" s="24"/>
      <c r="I16" s="24">
        <v>6098309</v>
      </c>
      <c r="J16" s="24"/>
      <c r="K16" s="24">
        <v>11486632</v>
      </c>
      <c r="L16" s="24"/>
      <c r="M16" s="24">
        <v>12171669</v>
      </c>
      <c r="N16" s="24"/>
      <c r="O16" s="24">
        <v>320000</v>
      </c>
      <c r="P16" s="24"/>
      <c r="Q16" s="24">
        <v>0</v>
      </c>
      <c r="R16" s="24"/>
      <c r="S16" s="24">
        <v>0</v>
      </c>
      <c r="T16" s="24"/>
      <c r="U16" s="24">
        <v>0</v>
      </c>
      <c r="V16" s="24"/>
      <c r="W16" s="24">
        <v>364945</v>
      </c>
      <c r="X16" s="24"/>
      <c r="Y16" s="24">
        <f t="shared" si="0"/>
        <v>51686949</v>
      </c>
      <c r="Z16" s="24"/>
      <c r="AA16" s="24">
        <v>1534125</v>
      </c>
      <c r="AB16" s="24"/>
      <c r="AC16" s="24">
        <v>101507612</v>
      </c>
      <c r="AD16" s="24"/>
      <c r="AE16" s="24">
        <f>+AC16+AA16</f>
        <v>103041737</v>
      </c>
      <c r="AF16" s="25">
        <f>+'St of Net Assets - GA'!W16-'St of Activities - GA Exp'!AE16</f>
        <v>0</v>
      </c>
      <c r="AG16" s="28"/>
    </row>
    <row r="17" spans="1:33" ht="12.75" customHeight="1" hidden="1">
      <c r="A17" s="23" t="s">
        <v>238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>
        <f t="shared" si="0"/>
        <v>0</v>
      </c>
      <c r="Z17" s="24"/>
      <c r="AA17" s="24"/>
      <c r="AB17" s="24"/>
      <c r="AC17" s="24"/>
      <c r="AD17" s="24"/>
      <c r="AE17" s="24">
        <f t="shared" si="1"/>
        <v>0</v>
      </c>
      <c r="AF17" s="25">
        <f>+'St of Net Assets - GA'!W17-'St of Activities - GA Exp'!AE17</f>
        <v>0</v>
      </c>
      <c r="AG17" s="28"/>
    </row>
    <row r="18" spans="1:33" ht="12.75" customHeight="1">
      <c r="A18" s="23" t="s">
        <v>236</v>
      </c>
      <c r="B18" s="24"/>
      <c r="C18" s="24">
        <v>29823465</v>
      </c>
      <c r="D18" s="24"/>
      <c r="E18" s="24">
        <v>14869492</v>
      </c>
      <c r="F18" s="24"/>
      <c r="G18" s="24">
        <v>44980435</v>
      </c>
      <c r="H18" s="24"/>
      <c r="I18" s="24">
        <v>22218862</v>
      </c>
      <c r="J18" s="24"/>
      <c r="K18" s="24">
        <v>66659991</v>
      </c>
      <c r="L18" s="24"/>
      <c r="M18" s="24">
        <v>66342441</v>
      </c>
      <c r="N18" s="24"/>
      <c r="O18" s="24">
        <v>0</v>
      </c>
      <c r="P18" s="24"/>
      <c r="Q18" s="24">
        <v>453611</v>
      </c>
      <c r="R18" s="24"/>
      <c r="S18" s="24">
        <v>0</v>
      </c>
      <c r="T18" s="24"/>
      <c r="U18" s="24">
        <v>7839719</v>
      </c>
      <c r="V18" s="24"/>
      <c r="W18" s="24">
        <v>4301012</v>
      </c>
      <c r="X18" s="24"/>
      <c r="Y18" s="24">
        <f t="shared" si="0"/>
        <v>257489028</v>
      </c>
      <c r="Z18" s="24"/>
      <c r="AA18" s="24">
        <v>6508172</v>
      </c>
      <c r="AB18" s="24"/>
      <c r="AC18" s="24">
        <v>439900614</v>
      </c>
      <c r="AD18" s="24"/>
      <c r="AE18" s="24">
        <f t="shared" si="1"/>
        <v>446408786</v>
      </c>
      <c r="AF18" s="25">
        <f>+'St of Net Assets - GA'!W18-'St of Activities - GA Exp'!AE18</f>
        <v>0</v>
      </c>
      <c r="AG18" s="28"/>
    </row>
    <row r="19" spans="1:33" ht="12.75" customHeight="1">
      <c r="A19" s="23" t="s">
        <v>20</v>
      </c>
      <c r="B19" s="24"/>
      <c r="C19" s="24">
        <v>2425928</v>
      </c>
      <c r="D19" s="24"/>
      <c r="E19" s="24">
        <v>1095137</v>
      </c>
      <c r="F19" s="24"/>
      <c r="G19" s="24">
        <v>2487414</v>
      </c>
      <c r="H19" s="24"/>
      <c r="I19" s="24">
        <v>4306082</v>
      </c>
      <c r="J19" s="24"/>
      <c r="K19" s="24">
        <v>4410745</v>
      </c>
      <c r="L19" s="24"/>
      <c r="M19" s="24">
        <v>5489959</v>
      </c>
      <c r="N19" s="24"/>
      <c r="O19" s="24">
        <v>379827</v>
      </c>
      <c r="P19" s="24"/>
      <c r="Q19" s="24">
        <v>0</v>
      </c>
      <c r="R19" s="24"/>
      <c r="S19" s="24">
        <f>248998+407416+765124</f>
        <v>1421538</v>
      </c>
      <c r="T19" s="24"/>
      <c r="U19" s="24">
        <v>105949</v>
      </c>
      <c r="V19" s="24"/>
      <c r="W19" s="24">
        <v>22621</v>
      </c>
      <c r="X19" s="24"/>
      <c r="Y19" s="24">
        <f t="shared" si="0"/>
        <v>22145200</v>
      </c>
      <c r="Z19" s="24"/>
      <c r="AA19" s="24">
        <v>564794</v>
      </c>
      <c r="AB19" s="24"/>
      <c r="AC19" s="24">
        <v>21178547</v>
      </c>
      <c r="AD19" s="24"/>
      <c r="AE19" s="24">
        <f t="shared" si="1"/>
        <v>21743341</v>
      </c>
      <c r="AF19" s="25">
        <f>+'St of Net Assets - GA'!W19-'St of Activities - GA Exp'!AE19</f>
        <v>0</v>
      </c>
      <c r="AG19" s="29"/>
    </row>
    <row r="20" spans="1:33" ht="12.75" customHeight="1" hidden="1">
      <c r="A20" s="23" t="s">
        <v>172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>
        <f t="shared" si="0"/>
        <v>0</v>
      </c>
      <c r="Z20" s="24"/>
      <c r="AA20" s="24"/>
      <c r="AB20" s="24"/>
      <c r="AC20" s="24"/>
      <c r="AD20" s="24"/>
      <c r="AE20" s="24">
        <f t="shared" si="1"/>
        <v>0</v>
      </c>
      <c r="AF20" s="25">
        <f>+'St of Net Assets - GA'!W20-'St of Activities - GA Exp'!AE20</f>
        <v>0</v>
      </c>
      <c r="AG20" s="28"/>
    </row>
    <row r="21" spans="1:33" ht="12.75" customHeight="1">
      <c r="A21" s="23" t="s">
        <v>21</v>
      </c>
      <c r="B21" s="24"/>
      <c r="C21" s="24">
        <v>10870046</v>
      </c>
      <c r="D21" s="24"/>
      <c r="E21" s="24">
        <v>12681680</v>
      </c>
      <c r="F21" s="24"/>
      <c r="G21" s="24">
        <v>15593911</v>
      </c>
      <c r="H21" s="24"/>
      <c r="I21" s="24">
        <v>9757946</v>
      </c>
      <c r="J21" s="24"/>
      <c r="K21" s="24">
        <v>23006804</v>
      </c>
      <c r="L21" s="24"/>
      <c r="M21" s="24">
        <v>32904188</v>
      </c>
      <c r="N21" s="24"/>
      <c r="O21" s="24">
        <v>0</v>
      </c>
      <c r="P21" s="24"/>
      <c r="Q21" s="24">
        <v>1229967</v>
      </c>
      <c r="R21" s="24"/>
      <c r="S21" s="24">
        <v>0</v>
      </c>
      <c r="T21" s="24"/>
      <c r="U21" s="24">
        <v>0</v>
      </c>
      <c r="V21" s="24"/>
      <c r="W21" s="24">
        <v>667772</v>
      </c>
      <c r="X21" s="24"/>
      <c r="Y21" s="24">
        <f t="shared" si="0"/>
        <v>106712314</v>
      </c>
      <c r="Z21" s="24"/>
      <c r="AA21" s="24">
        <v>3794460</v>
      </c>
      <c r="AB21" s="24"/>
      <c r="AC21" s="24">
        <v>132748020</v>
      </c>
      <c r="AD21" s="24"/>
      <c r="AE21" s="24">
        <f t="shared" si="1"/>
        <v>136542480</v>
      </c>
      <c r="AF21" s="25">
        <f>+'St of Net Assets - GA'!W21-'St of Activities - GA Exp'!AE21</f>
        <v>0</v>
      </c>
      <c r="AG21" s="28"/>
    </row>
    <row r="22" spans="1:33" ht="12.75" customHeight="1">
      <c r="A22" s="23" t="s">
        <v>180</v>
      </c>
      <c r="B22" s="24"/>
      <c r="C22" s="24">
        <v>17876056</v>
      </c>
      <c r="D22" s="24"/>
      <c r="E22" s="24">
        <v>10472241</v>
      </c>
      <c r="F22" s="24"/>
      <c r="G22" s="24">
        <v>27220757</v>
      </c>
      <c r="H22" s="24"/>
      <c r="I22" s="24">
        <v>12201192</v>
      </c>
      <c r="J22" s="24"/>
      <c r="K22" s="24">
        <v>1218138</v>
      </c>
      <c r="L22" s="24"/>
      <c r="M22" s="24">
        <v>27893661</v>
      </c>
      <c r="N22" s="24"/>
      <c r="O22" s="24">
        <v>3471700</v>
      </c>
      <c r="P22" s="24"/>
      <c r="Q22" s="24">
        <v>0</v>
      </c>
      <c r="R22" s="24"/>
      <c r="S22" s="24">
        <f>400699+2609878</f>
        <v>3010577</v>
      </c>
      <c r="T22" s="24"/>
      <c r="U22" s="24">
        <v>0</v>
      </c>
      <c r="V22" s="24"/>
      <c r="W22" s="24">
        <v>585076</v>
      </c>
      <c r="X22" s="24"/>
      <c r="Y22" s="24">
        <f t="shared" si="0"/>
        <v>103949398</v>
      </c>
      <c r="Z22" s="24"/>
      <c r="AA22" s="24">
        <v>10777028</v>
      </c>
      <c r="AB22" s="24"/>
      <c r="AC22" s="24">
        <v>217108894</v>
      </c>
      <c r="AD22" s="24"/>
      <c r="AE22" s="24">
        <f t="shared" si="1"/>
        <v>227885922</v>
      </c>
      <c r="AF22" s="25">
        <f>+'St of Net Assets - GA'!W22-'St of Activities - GA Exp'!AE22</f>
        <v>0</v>
      </c>
      <c r="AG22" s="28"/>
    </row>
    <row r="23" spans="1:33" ht="12.75" customHeight="1">
      <c r="A23" s="23" t="s">
        <v>22</v>
      </c>
      <c r="B23" s="24"/>
      <c r="C23" s="24">
        <v>6565205</v>
      </c>
      <c r="D23" s="24"/>
      <c r="E23" s="24">
        <v>2523388</v>
      </c>
      <c r="F23" s="24"/>
      <c r="G23" s="24">
        <v>4484107</v>
      </c>
      <c r="H23" s="24"/>
      <c r="I23" s="24">
        <v>5211403</v>
      </c>
      <c r="J23" s="24"/>
      <c r="K23" s="24">
        <v>4198318</v>
      </c>
      <c r="L23" s="24"/>
      <c r="M23" s="24">
        <v>7933027</v>
      </c>
      <c r="N23" s="24"/>
      <c r="O23" s="24">
        <v>310852</v>
      </c>
      <c r="P23" s="24"/>
      <c r="Q23" s="24">
        <v>94030</v>
      </c>
      <c r="R23" s="24"/>
      <c r="S23" s="24">
        <v>661869</v>
      </c>
      <c r="T23" s="24"/>
      <c r="U23" s="24">
        <v>0</v>
      </c>
      <c r="V23" s="24"/>
      <c r="W23" s="24">
        <v>432924</v>
      </c>
      <c r="X23" s="24"/>
      <c r="Y23" s="24">
        <f t="shared" si="0"/>
        <v>32415123</v>
      </c>
      <c r="Z23" s="24"/>
      <c r="AA23" s="24">
        <v>3169431</v>
      </c>
      <c r="AB23" s="24"/>
      <c r="AC23" s="24">
        <v>104036286</v>
      </c>
      <c r="AD23" s="24"/>
      <c r="AE23" s="24">
        <f t="shared" si="1"/>
        <v>107205717</v>
      </c>
      <c r="AF23" s="25">
        <f>+'St of Net Assets - GA'!W23-'St of Activities - GA Exp'!AE23</f>
        <v>0</v>
      </c>
      <c r="AG23" s="28"/>
    </row>
    <row r="24" spans="1:33" ht="12.75" customHeight="1" hidden="1">
      <c r="A24" s="23" t="s">
        <v>23</v>
      </c>
      <c r="B24" s="24"/>
      <c r="C24" s="24">
        <v>6159918</v>
      </c>
      <c r="D24" s="24"/>
      <c r="E24" s="24">
        <v>5884321</v>
      </c>
      <c r="F24" s="24"/>
      <c r="G24" s="24">
        <v>7517302</v>
      </c>
      <c r="H24" s="24"/>
      <c r="I24" s="24">
        <v>10628436</v>
      </c>
      <c r="J24" s="24"/>
      <c r="K24" s="24">
        <v>9572220</v>
      </c>
      <c r="L24" s="24"/>
      <c r="M24" s="24">
        <v>28324607</v>
      </c>
      <c r="N24" s="24"/>
      <c r="O24" s="24">
        <v>1029618</v>
      </c>
      <c r="P24" s="24"/>
      <c r="Q24" s="24">
        <v>38753</v>
      </c>
      <c r="R24" s="24"/>
      <c r="S24" s="24">
        <f>6837032+533110+17862</f>
        <v>7388004</v>
      </c>
      <c r="T24" s="24"/>
      <c r="U24" s="24"/>
      <c r="V24" s="24"/>
      <c r="W24" s="24">
        <v>2867164</v>
      </c>
      <c r="X24" s="24"/>
      <c r="Y24" s="24">
        <f t="shared" si="0"/>
        <v>79410343</v>
      </c>
      <c r="Z24" s="24"/>
      <c r="AA24" s="24">
        <v>-4200254</v>
      </c>
      <c r="AB24" s="24"/>
      <c r="AC24" s="24">
        <v>42614406</v>
      </c>
      <c r="AD24" s="24"/>
      <c r="AE24" s="24">
        <f t="shared" si="1"/>
        <v>38414152</v>
      </c>
      <c r="AF24" s="25">
        <f>+'St of Net Assets - GA'!W24-'St of Activities - GA Exp'!AE24</f>
        <v>0</v>
      </c>
      <c r="AG24" s="28"/>
    </row>
    <row r="25" spans="1:33" ht="12.75" customHeight="1">
      <c r="A25" s="23" t="s">
        <v>24</v>
      </c>
      <c r="B25" s="24"/>
      <c r="C25" s="24">
        <v>3318671</v>
      </c>
      <c r="D25" s="24"/>
      <c r="E25" s="24">
        <v>1918348</v>
      </c>
      <c r="F25" s="24"/>
      <c r="G25" s="24">
        <v>5188930</v>
      </c>
      <c r="H25" s="24"/>
      <c r="I25" s="24">
        <v>8242793</v>
      </c>
      <c r="J25" s="24"/>
      <c r="K25" s="24">
        <v>9443361</v>
      </c>
      <c r="L25" s="24"/>
      <c r="M25" s="24">
        <v>7442309</v>
      </c>
      <c r="N25" s="24"/>
      <c r="O25" s="24">
        <v>0</v>
      </c>
      <c r="P25" s="24"/>
      <c r="Q25" s="24">
        <v>146128</v>
      </c>
      <c r="R25" s="24"/>
      <c r="S25" s="24">
        <v>283988</v>
      </c>
      <c r="T25" s="24"/>
      <c r="U25" s="24">
        <v>0</v>
      </c>
      <c r="V25" s="24"/>
      <c r="W25" s="24">
        <v>160628</v>
      </c>
      <c r="X25" s="24"/>
      <c r="Y25" s="24">
        <f t="shared" si="0"/>
        <v>36145156</v>
      </c>
      <c r="Z25" s="24"/>
      <c r="AA25" s="24">
        <v>-197349</v>
      </c>
      <c r="AB25" s="24"/>
      <c r="AC25" s="24">
        <v>40696400</v>
      </c>
      <c r="AD25" s="24"/>
      <c r="AE25" s="24">
        <f t="shared" si="1"/>
        <v>40499051</v>
      </c>
      <c r="AF25" s="25">
        <f>+'St of Net Assets - GA'!W25-'St of Activities - GA Exp'!AE25</f>
        <v>0</v>
      </c>
      <c r="AG25" s="28"/>
    </row>
    <row r="26" spans="1:33" ht="12.75" customHeight="1">
      <c r="A26" s="23" t="s">
        <v>178</v>
      </c>
      <c r="B26" s="24"/>
      <c r="C26" s="24">
        <v>4184705</v>
      </c>
      <c r="D26" s="24"/>
      <c r="E26" s="24">
        <v>2168933</v>
      </c>
      <c r="F26" s="24"/>
      <c r="G26" s="24">
        <f>1960973+2083728+1660143</f>
        <v>5704844</v>
      </c>
      <c r="H26" s="24"/>
      <c r="I26" s="24">
        <v>12675447</v>
      </c>
      <c r="J26" s="24"/>
      <c r="K26" s="24">
        <f>4774233+1298936</f>
        <v>6073169</v>
      </c>
      <c r="L26" s="24"/>
      <c r="M26" s="24">
        <f>1798983+553065+4475883+1735252</f>
        <v>8563183</v>
      </c>
      <c r="N26" s="24"/>
      <c r="O26" s="24">
        <v>138378</v>
      </c>
      <c r="P26" s="24"/>
      <c r="Q26" s="24">
        <v>0</v>
      </c>
      <c r="R26" s="24"/>
      <c r="S26" s="24">
        <v>0</v>
      </c>
      <c r="T26" s="24"/>
      <c r="U26" s="24">
        <v>0</v>
      </c>
      <c r="V26" s="24"/>
      <c r="W26" s="24">
        <v>649060</v>
      </c>
      <c r="X26" s="24"/>
      <c r="Y26" s="24">
        <f t="shared" si="0"/>
        <v>40157719</v>
      </c>
      <c r="Z26" s="24"/>
      <c r="AA26" s="24">
        <v>1320426</v>
      </c>
      <c r="AB26" s="24"/>
      <c r="AC26" s="24">
        <v>63308182</v>
      </c>
      <c r="AD26" s="24"/>
      <c r="AE26" s="24">
        <f t="shared" si="1"/>
        <v>64628608</v>
      </c>
      <c r="AF26" s="25">
        <f>+'St of Net Assets - GA'!W26-'St of Activities - GA Exp'!AE26</f>
        <v>0</v>
      </c>
      <c r="AG26" s="28"/>
    </row>
    <row r="27" spans="1:33" ht="12.75" customHeight="1" hidden="1">
      <c r="A27" s="23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>
        <f>SUM(C27:W27)</f>
        <v>0</v>
      </c>
      <c r="Z27" s="24"/>
      <c r="AA27" s="24"/>
      <c r="AB27" s="24"/>
      <c r="AC27" s="24"/>
      <c r="AD27" s="24"/>
      <c r="AE27" s="24">
        <f t="shared" si="1"/>
        <v>0</v>
      </c>
      <c r="AF27" s="25">
        <f>+'St of Net Assets - GA'!W27-'St of Activities - GA Exp'!AE27</f>
        <v>0</v>
      </c>
      <c r="AG27" s="28"/>
    </row>
    <row r="28" spans="1:33" ht="12.75" customHeight="1" hidden="1">
      <c r="A28" s="131" t="s">
        <v>250</v>
      </c>
      <c r="B28" s="24"/>
      <c r="C28" s="24">
        <v>4496947</v>
      </c>
      <c r="D28" s="24"/>
      <c r="E28" s="24">
        <v>3179131</v>
      </c>
      <c r="F28" s="24"/>
      <c r="G28" s="24">
        <v>5416578</v>
      </c>
      <c r="H28" s="24"/>
      <c r="I28" s="24">
        <v>5717227</v>
      </c>
      <c r="J28" s="24"/>
      <c r="K28" s="24">
        <v>396926</v>
      </c>
      <c r="L28" s="24"/>
      <c r="M28" s="24">
        <v>13617516</v>
      </c>
      <c r="N28" s="24"/>
      <c r="O28" s="24">
        <v>1559021</v>
      </c>
      <c r="P28" s="24"/>
      <c r="Q28" s="24"/>
      <c r="R28" s="24"/>
      <c r="S28" s="143">
        <f>533556+1074438</f>
        <v>1607994</v>
      </c>
      <c r="T28" s="24"/>
      <c r="U28" s="24">
        <f>269827</f>
        <v>269827</v>
      </c>
      <c r="V28" s="24"/>
      <c r="W28" s="24">
        <v>311979</v>
      </c>
      <c r="X28" s="24"/>
      <c r="Y28" s="24">
        <f t="shared" si="0"/>
        <v>36573146</v>
      </c>
      <c r="Z28" s="24"/>
      <c r="AA28" s="24">
        <v>944992</v>
      </c>
      <c r="AB28" s="24"/>
      <c r="AC28" s="24">
        <v>16743826</v>
      </c>
      <c r="AD28" s="24"/>
      <c r="AE28" s="24">
        <f t="shared" si="1"/>
        <v>17688818</v>
      </c>
      <c r="AF28" s="25">
        <f>+'St of Net Assets - GA'!W28-'St of Activities - GA Exp'!AE28</f>
        <v>0</v>
      </c>
      <c r="AG28" s="28"/>
    </row>
    <row r="29" spans="1:33" ht="12.75" customHeight="1">
      <c r="A29" s="23" t="s">
        <v>27</v>
      </c>
      <c r="B29" s="24"/>
      <c r="C29" s="24">
        <v>5498662</v>
      </c>
      <c r="D29" s="24"/>
      <c r="E29" s="24">
        <v>1720356</v>
      </c>
      <c r="F29" s="24"/>
      <c r="G29" s="24">
        <v>4553727</v>
      </c>
      <c r="H29" s="24"/>
      <c r="I29" s="24">
        <v>5779626</v>
      </c>
      <c r="J29" s="24"/>
      <c r="K29" s="24">
        <v>4776961</v>
      </c>
      <c r="L29" s="24"/>
      <c r="M29" s="24">
        <v>5397020</v>
      </c>
      <c r="N29" s="24"/>
      <c r="O29" s="24">
        <v>713284</v>
      </c>
      <c r="P29" s="24"/>
      <c r="Q29" s="24">
        <v>2230</v>
      </c>
      <c r="R29" s="24"/>
      <c r="S29" s="24">
        <v>0</v>
      </c>
      <c r="T29" s="24"/>
      <c r="U29" s="24">
        <v>0</v>
      </c>
      <c r="V29" s="24"/>
      <c r="W29" s="24">
        <v>264066</v>
      </c>
      <c r="X29" s="24"/>
      <c r="Y29" s="24">
        <f aca="true" t="shared" si="2" ref="Y29:Y93">SUM(C29:W29)</f>
        <v>28705932</v>
      </c>
      <c r="Z29" s="24"/>
      <c r="AA29" s="24">
        <v>1406589</v>
      </c>
      <c r="AB29" s="24"/>
      <c r="AC29" s="24">
        <v>84248423</v>
      </c>
      <c r="AD29" s="24"/>
      <c r="AE29" s="24">
        <f aca="true" t="shared" si="3" ref="AE29:AE44">+AC29+AA29</f>
        <v>85655012</v>
      </c>
      <c r="AF29" s="25">
        <f>+'St of Net Assets - GA'!W29-'St of Activities - GA Exp'!AE29</f>
        <v>0</v>
      </c>
      <c r="AG29" s="28"/>
    </row>
    <row r="30" spans="1:33" ht="12.75" customHeight="1">
      <c r="A30" s="23" t="s">
        <v>28</v>
      </c>
      <c r="B30" s="24"/>
      <c r="C30" s="24">
        <v>16863307</v>
      </c>
      <c r="D30" s="24"/>
      <c r="E30" s="24">
        <v>8633665</v>
      </c>
      <c r="F30" s="24"/>
      <c r="G30" s="24">
        <f>4025292+9424149+19500231+3586946</f>
        <v>36536618</v>
      </c>
      <c r="H30" s="24"/>
      <c r="I30" s="24">
        <f>15004047</f>
        <v>15004047</v>
      </c>
      <c r="J30" s="24"/>
      <c r="K30" s="24">
        <v>18143585</v>
      </c>
      <c r="L30" s="24"/>
      <c r="M30" s="24">
        <f>5543363+1120990+1477299+491724</f>
        <v>8633376</v>
      </c>
      <c r="N30" s="24"/>
      <c r="O30" s="24">
        <v>0</v>
      </c>
      <c r="P30" s="24"/>
      <c r="Q30" s="24">
        <v>9006</v>
      </c>
      <c r="R30" s="24"/>
      <c r="S30" s="24">
        <v>0</v>
      </c>
      <c r="T30" s="24"/>
      <c r="U30" s="24">
        <f>4644+267324+250000+296915</f>
        <v>818883</v>
      </c>
      <c r="V30" s="24"/>
      <c r="W30" s="24">
        <v>1512232</v>
      </c>
      <c r="X30" s="24"/>
      <c r="Y30" s="24">
        <f t="shared" si="2"/>
        <v>106154719</v>
      </c>
      <c r="Z30" s="24"/>
      <c r="AA30" s="24">
        <v>11210865</v>
      </c>
      <c r="AB30" s="24"/>
      <c r="AC30" s="24">
        <v>240357501</v>
      </c>
      <c r="AD30" s="24"/>
      <c r="AE30" s="24">
        <f t="shared" si="3"/>
        <v>251568366</v>
      </c>
      <c r="AF30" s="25">
        <f>+'St of Net Assets - GA'!W30-'St of Activities - GA Exp'!AE30</f>
        <v>0</v>
      </c>
      <c r="AG30" s="28"/>
    </row>
    <row r="31" spans="1:33" ht="12.75" customHeight="1">
      <c r="A31" s="23" t="s">
        <v>29</v>
      </c>
      <c r="B31" s="24"/>
      <c r="C31" s="24">
        <v>12132251</v>
      </c>
      <c r="D31" s="24"/>
      <c r="E31" s="24">
        <v>7235392</v>
      </c>
      <c r="F31" s="24"/>
      <c r="G31" s="24">
        <f>9641148+404717</f>
        <v>10045865</v>
      </c>
      <c r="H31" s="24"/>
      <c r="I31" s="24">
        <v>6712443</v>
      </c>
      <c r="J31" s="24"/>
      <c r="K31" s="24">
        <f>7460460+1283425</f>
        <v>8743885</v>
      </c>
      <c r="L31" s="24"/>
      <c r="M31" s="24">
        <f>1445022+5157838+1649692</f>
        <v>8252552</v>
      </c>
      <c r="N31" s="24"/>
      <c r="O31" s="24">
        <v>2354858</v>
      </c>
      <c r="P31" s="24"/>
      <c r="Q31" s="24">
        <v>0</v>
      </c>
      <c r="R31" s="24"/>
      <c r="S31" s="24">
        <v>654045</v>
      </c>
      <c r="T31" s="24"/>
      <c r="U31" s="24">
        <v>847046</v>
      </c>
      <c r="V31" s="24"/>
      <c r="W31" s="24">
        <v>752950</v>
      </c>
      <c r="X31" s="24"/>
      <c r="Y31" s="24">
        <f t="shared" si="2"/>
        <v>57731287</v>
      </c>
      <c r="Z31" s="24"/>
      <c r="AA31" s="24">
        <v>3092952</v>
      </c>
      <c r="AB31" s="24"/>
      <c r="AC31" s="24">
        <v>80507424</v>
      </c>
      <c r="AD31" s="24"/>
      <c r="AE31" s="24">
        <f t="shared" si="3"/>
        <v>83600376</v>
      </c>
      <c r="AF31" s="25">
        <f>+'St of Net Assets - GA'!W31-'St of Activities - GA Exp'!AE31</f>
        <v>0</v>
      </c>
      <c r="AG31" s="28"/>
    </row>
    <row r="32" spans="1:33" ht="12.75" customHeight="1">
      <c r="A32" s="23" t="s">
        <v>30</v>
      </c>
      <c r="B32" s="24"/>
      <c r="C32" s="24">
        <v>10615697</v>
      </c>
      <c r="D32" s="24"/>
      <c r="E32" s="24">
        <v>6734352</v>
      </c>
      <c r="F32" s="24"/>
      <c r="G32" s="24">
        <v>16083598</v>
      </c>
      <c r="H32" s="24"/>
      <c r="I32" s="24">
        <v>11255450</v>
      </c>
      <c r="J32" s="24"/>
      <c r="K32" s="24">
        <v>25822853</v>
      </c>
      <c r="L32" s="24"/>
      <c r="M32" s="24">
        <v>22064098</v>
      </c>
      <c r="N32" s="24"/>
      <c r="O32" s="24">
        <v>835485</v>
      </c>
      <c r="P32" s="24"/>
      <c r="Q32" s="24">
        <v>0</v>
      </c>
      <c r="R32" s="24"/>
      <c r="S32" s="24">
        <v>307861</v>
      </c>
      <c r="T32" s="24"/>
      <c r="U32" s="24">
        <f>1706046+187776+197158</f>
        <v>2090980</v>
      </c>
      <c r="V32" s="24"/>
      <c r="W32" s="24">
        <v>776964</v>
      </c>
      <c r="X32" s="24"/>
      <c r="Y32" s="24">
        <f t="shared" si="2"/>
        <v>96587338</v>
      </c>
      <c r="Z32" s="24"/>
      <c r="AA32" s="24">
        <v>2805621</v>
      </c>
      <c r="AB32" s="24"/>
      <c r="AC32" s="24">
        <v>224833542</v>
      </c>
      <c r="AD32" s="24"/>
      <c r="AE32" s="24">
        <f t="shared" si="3"/>
        <v>227639163</v>
      </c>
      <c r="AF32" s="25">
        <f>+'St of Net Assets - GA'!W32-'St of Activities - GA Exp'!AE32</f>
        <v>0</v>
      </c>
      <c r="AG32" s="28"/>
    </row>
    <row r="33" spans="1:33" ht="12.75" customHeight="1" hidden="1">
      <c r="A33" s="23" t="s">
        <v>237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>
        <f t="shared" si="2"/>
        <v>0</v>
      </c>
      <c r="Z33" s="24"/>
      <c r="AA33" s="24"/>
      <c r="AB33" s="24"/>
      <c r="AC33" s="24"/>
      <c r="AD33" s="24"/>
      <c r="AE33" s="24">
        <f t="shared" si="3"/>
        <v>0</v>
      </c>
      <c r="AF33" s="25">
        <f>+'St of Net Assets - GA'!W33-'St of Activities - GA Exp'!AE33</f>
        <v>15156542</v>
      </c>
      <c r="AG33" s="28"/>
    </row>
    <row r="34" spans="1:33" ht="12.75" customHeight="1">
      <c r="A34" s="23" t="s">
        <v>32</v>
      </c>
      <c r="B34" s="24"/>
      <c r="C34" s="24">
        <v>114514000</v>
      </c>
      <c r="D34" s="24"/>
      <c r="E34" s="24">
        <v>73641000</v>
      </c>
      <c r="F34" s="24"/>
      <c r="G34" s="24">
        <v>142092000</v>
      </c>
      <c r="H34" s="24"/>
      <c r="I34" s="24">
        <v>50278000</v>
      </c>
      <c r="J34" s="24"/>
      <c r="K34" s="24">
        <v>325615000</v>
      </c>
      <c r="L34" s="24"/>
      <c r="M34" s="24">
        <v>283898000</v>
      </c>
      <c r="N34" s="24"/>
      <c r="O34" s="24">
        <v>9334000</v>
      </c>
      <c r="P34" s="24"/>
      <c r="Q34" s="24">
        <v>19198000</v>
      </c>
      <c r="R34" s="24"/>
      <c r="S34" s="24">
        <v>0</v>
      </c>
      <c r="T34" s="24"/>
      <c r="U34" s="24">
        <v>0</v>
      </c>
      <c r="V34" s="24"/>
      <c r="W34" s="24">
        <v>14708000</v>
      </c>
      <c r="X34" s="24"/>
      <c r="Y34" s="24">
        <f t="shared" si="2"/>
        <v>1033278000</v>
      </c>
      <c r="Z34" s="24"/>
      <c r="AA34" s="24">
        <v>21073000</v>
      </c>
      <c r="AB34" s="24"/>
      <c r="AC34" s="24">
        <v>1192378000</v>
      </c>
      <c r="AD34" s="24"/>
      <c r="AE34" s="24">
        <f t="shared" si="3"/>
        <v>1213451000</v>
      </c>
      <c r="AF34" s="25">
        <f>+'St of Net Assets - GA'!W34-'St of Activities - GA Exp'!AE34</f>
        <v>0</v>
      </c>
      <c r="AG34" s="28"/>
    </row>
    <row r="35" spans="1:33" ht="12.75" customHeight="1">
      <c r="A35" s="23" t="s">
        <v>33</v>
      </c>
      <c r="B35" s="24"/>
      <c r="C35" s="24">
        <v>4902137</v>
      </c>
      <c r="D35" s="24"/>
      <c r="E35" s="24">
        <v>1834089</v>
      </c>
      <c r="F35" s="24"/>
      <c r="G35" s="24">
        <v>8327848</v>
      </c>
      <c r="H35" s="24"/>
      <c r="I35" s="24">
        <v>5434322</v>
      </c>
      <c r="J35" s="24"/>
      <c r="K35" s="24">
        <v>5900523</v>
      </c>
      <c r="L35" s="24"/>
      <c r="M35" s="24">
        <v>4807503</v>
      </c>
      <c r="N35" s="24"/>
      <c r="O35" s="24">
        <v>1043304</v>
      </c>
      <c r="P35" s="24"/>
      <c r="Q35" s="24">
        <v>0</v>
      </c>
      <c r="R35" s="24"/>
      <c r="S35" s="24">
        <v>2852</v>
      </c>
      <c r="T35" s="24"/>
      <c r="U35" s="24">
        <v>904101</v>
      </c>
      <c r="V35" s="24"/>
      <c r="W35" s="24">
        <v>52950</v>
      </c>
      <c r="X35" s="24"/>
      <c r="Y35" s="24">
        <f t="shared" si="2"/>
        <v>33209629</v>
      </c>
      <c r="Z35" s="24"/>
      <c r="AA35" s="24">
        <v>4302902</v>
      </c>
      <c r="AB35" s="24"/>
      <c r="AC35" s="24">
        <v>72070045</v>
      </c>
      <c r="AD35" s="24"/>
      <c r="AE35" s="24">
        <f t="shared" si="3"/>
        <v>76372947</v>
      </c>
      <c r="AF35" s="25">
        <f>+'St of Net Assets - GA'!W35-'St of Activities - GA Exp'!AE35</f>
        <v>0</v>
      </c>
      <c r="AG35" s="28"/>
    </row>
    <row r="36" spans="1:33" ht="12.75" customHeight="1">
      <c r="A36" s="23" t="s">
        <v>34</v>
      </c>
      <c r="B36" s="24"/>
      <c r="C36" s="24">
        <v>4755608</v>
      </c>
      <c r="D36" s="24"/>
      <c r="E36" s="24">
        <v>2158631</v>
      </c>
      <c r="F36" s="24"/>
      <c r="G36" s="24">
        <v>5479528</v>
      </c>
      <c r="H36" s="24"/>
      <c r="I36" s="24">
        <v>6365248</v>
      </c>
      <c r="J36" s="24"/>
      <c r="K36" s="24">
        <v>3037929</v>
      </c>
      <c r="L36" s="24"/>
      <c r="M36" s="24">
        <v>6770193</v>
      </c>
      <c r="N36" s="24"/>
      <c r="O36" s="24">
        <v>1007141</v>
      </c>
      <c r="P36" s="24"/>
      <c r="Q36" s="24">
        <v>0</v>
      </c>
      <c r="R36" s="24"/>
      <c r="S36" s="24">
        <v>0</v>
      </c>
      <c r="T36" s="24"/>
      <c r="U36" s="24">
        <v>0</v>
      </c>
      <c r="V36" s="24"/>
      <c r="W36" s="24">
        <v>110234</v>
      </c>
      <c r="X36" s="24"/>
      <c r="Y36" s="24">
        <f t="shared" si="2"/>
        <v>29684512</v>
      </c>
      <c r="Z36" s="24"/>
      <c r="AA36" s="24">
        <v>2999649</v>
      </c>
      <c r="AB36" s="24"/>
      <c r="AC36" s="24">
        <v>166885286</v>
      </c>
      <c r="AD36" s="24"/>
      <c r="AE36" s="24">
        <f t="shared" si="3"/>
        <v>169884935</v>
      </c>
      <c r="AF36" s="25">
        <f>+'St of Net Assets - GA'!W36-'St of Activities - GA Exp'!AE36</f>
        <v>0</v>
      </c>
      <c r="AG36" s="28"/>
    </row>
    <row r="37" spans="1:33" ht="12.75" customHeight="1">
      <c r="A37" s="23" t="s">
        <v>35</v>
      </c>
      <c r="B37" s="24"/>
      <c r="C37" s="24">
        <v>8794782</v>
      </c>
      <c r="D37" s="24"/>
      <c r="E37" s="24">
        <v>4152186</v>
      </c>
      <c r="F37" s="24"/>
      <c r="G37" s="24">
        <v>11829178</v>
      </c>
      <c r="H37" s="24"/>
      <c r="I37" s="24">
        <v>7512922</v>
      </c>
      <c r="J37" s="24"/>
      <c r="K37" s="24">
        <v>8899604</v>
      </c>
      <c r="L37" s="24"/>
      <c r="M37" s="24">
        <v>29268170</v>
      </c>
      <c r="N37" s="24"/>
      <c r="O37" s="24">
        <v>962187</v>
      </c>
      <c r="P37" s="24"/>
      <c r="Q37" s="24">
        <v>0</v>
      </c>
      <c r="R37" s="24"/>
      <c r="S37" s="24">
        <v>0</v>
      </c>
      <c r="T37" s="24"/>
      <c r="U37" s="24">
        <v>0</v>
      </c>
      <c r="V37" s="24"/>
      <c r="W37" s="24">
        <v>151257</v>
      </c>
      <c r="X37" s="24"/>
      <c r="Y37" s="24">
        <f t="shared" si="2"/>
        <v>71570286</v>
      </c>
      <c r="Z37" s="24"/>
      <c r="AA37" s="24">
        <v>9556825</v>
      </c>
      <c r="AB37" s="24"/>
      <c r="AC37" s="24">
        <v>205145736</v>
      </c>
      <c r="AD37" s="24"/>
      <c r="AE37" s="24">
        <f t="shared" si="3"/>
        <v>214702561</v>
      </c>
      <c r="AF37" s="25">
        <f>+'St of Net Assets - GA'!W37-'St of Activities - GA Exp'!AE37</f>
        <v>0</v>
      </c>
      <c r="AG37" s="28"/>
    </row>
    <row r="38" spans="1:33" ht="12.75" customHeight="1">
      <c r="A38" s="23" t="s">
        <v>181</v>
      </c>
      <c r="B38" s="24"/>
      <c r="C38" s="24">
        <v>14664052</v>
      </c>
      <c r="D38" s="24"/>
      <c r="E38" s="24">
        <v>6296201</v>
      </c>
      <c r="F38" s="24"/>
      <c r="G38" s="24">
        <v>20140857</v>
      </c>
      <c r="H38" s="24"/>
      <c r="I38" s="24">
        <v>9088202</v>
      </c>
      <c r="J38" s="24"/>
      <c r="K38" s="24">
        <v>22266555</v>
      </c>
      <c r="L38" s="24"/>
      <c r="M38" s="24">
        <v>26913188</v>
      </c>
      <c r="N38" s="24"/>
      <c r="O38" s="24">
        <v>2353784</v>
      </c>
      <c r="P38" s="24"/>
      <c r="Q38" s="24">
        <v>2945774</v>
      </c>
      <c r="R38" s="24"/>
      <c r="S38" s="24">
        <v>0</v>
      </c>
      <c r="T38" s="24"/>
      <c r="U38" s="24">
        <v>0</v>
      </c>
      <c r="V38" s="24"/>
      <c r="W38" s="24">
        <v>1069834</v>
      </c>
      <c r="X38" s="24"/>
      <c r="Y38" s="24">
        <f t="shared" si="2"/>
        <v>105738447</v>
      </c>
      <c r="Z38" s="24"/>
      <c r="AA38" s="24">
        <v>14000114</v>
      </c>
      <c r="AB38" s="24"/>
      <c r="AC38" s="24">
        <v>203357849</v>
      </c>
      <c r="AD38" s="24"/>
      <c r="AE38" s="24">
        <f t="shared" si="3"/>
        <v>217357963</v>
      </c>
      <c r="AF38" s="25">
        <f>+'St of Net Assets - GA'!W38-'St of Activities - GA Exp'!AE38</f>
        <v>0</v>
      </c>
      <c r="AG38" s="28"/>
    </row>
    <row r="39" spans="1:33" ht="12.75" customHeight="1" hidden="1">
      <c r="A39" s="23" t="s">
        <v>242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>
        <f t="shared" si="2"/>
        <v>0</v>
      </c>
      <c r="Z39" s="24"/>
      <c r="AA39" s="24"/>
      <c r="AB39" s="24"/>
      <c r="AC39" s="24"/>
      <c r="AD39" s="24"/>
      <c r="AE39" s="24">
        <f t="shared" si="3"/>
        <v>0</v>
      </c>
      <c r="AF39" s="25">
        <f>+'St of Net Assets - GA'!W39-'St of Activities - GA Exp'!AE39</f>
        <v>0</v>
      </c>
      <c r="AG39" s="28"/>
    </row>
    <row r="40" spans="1:33" ht="12.75" customHeight="1" hidden="1">
      <c r="A40" s="23" t="s">
        <v>37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>
        <f t="shared" si="2"/>
        <v>0</v>
      </c>
      <c r="Z40" s="24"/>
      <c r="AA40" s="24"/>
      <c r="AB40" s="24"/>
      <c r="AC40" s="24"/>
      <c r="AD40" s="24"/>
      <c r="AE40" s="24">
        <f t="shared" si="3"/>
        <v>0</v>
      </c>
      <c r="AF40" s="25">
        <f>+'St of Net Assets - GA'!W40-'St of Activities - GA Exp'!AE40</f>
        <v>0</v>
      </c>
      <c r="AG40" s="28"/>
    </row>
    <row r="41" spans="1:33" ht="12.75" customHeight="1">
      <c r="A41" s="23" t="s">
        <v>38</v>
      </c>
      <c r="B41" s="24"/>
      <c r="C41" s="24">
        <v>6459734</v>
      </c>
      <c r="D41" s="24"/>
      <c r="E41" s="24">
        <v>3597729</v>
      </c>
      <c r="F41" s="24"/>
      <c r="G41" s="24">
        <v>7858955</v>
      </c>
      <c r="H41" s="24"/>
      <c r="I41" s="24">
        <v>6266746</v>
      </c>
      <c r="J41" s="24"/>
      <c r="K41" s="24">
        <v>18013828</v>
      </c>
      <c r="L41" s="24"/>
      <c r="M41" s="24">
        <v>8768914</v>
      </c>
      <c r="N41" s="24"/>
      <c r="O41" s="24">
        <v>154948</v>
      </c>
      <c r="P41" s="24"/>
      <c r="Q41" s="24">
        <v>408057</v>
      </c>
      <c r="R41" s="24"/>
      <c r="S41" s="24">
        <v>0</v>
      </c>
      <c r="T41" s="24"/>
      <c r="U41" s="24">
        <v>0</v>
      </c>
      <c r="V41" s="24"/>
      <c r="W41" s="24">
        <v>613666</v>
      </c>
      <c r="X41" s="24"/>
      <c r="Y41" s="24">
        <f>SUM(C41:W41)</f>
        <v>52142577</v>
      </c>
      <c r="Z41" s="24"/>
      <c r="AA41" s="24">
        <v>8765038</v>
      </c>
      <c r="AB41" s="24"/>
      <c r="AC41" s="24">
        <v>127923865</v>
      </c>
      <c r="AD41" s="24"/>
      <c r="AE41" s="24">
        <f t="shared" si="3"/>
        <v>136688903</v>
      </c>
      <c r="AF41" s="25">
        <f>+'St of Net Assets - GA'!W41-'St of Activities - GA Exp'!AE41</f>
        <v>0</v>
      </c>
      <c r="AG41" s="28"/>
    </row>
    <row r="42" spans="1:33" ht="12.75" customHeight="1" hidden="1">
      <c r="A42" s="23" t="s">
        <v>167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>
        <f t="shared" si="2"/>
        <v>0</v>
      </c>
      <c r="Z42" s="24"/>
      <c r="AA42" s="24"/>
      <c r="AB42" s="24"/>
      <c r="AC42" s="24"/>
      <c r="AD42" s="24"/>
      <c r="AE42" s="24">
        <f t="shared" si="3"/>
        <v>0</v>
      </c>
      <c r="AF42" s="25">
        <f>+'St of Net Assets - GA'!W42-'St of Activities - GA Exp'!AE42</f>
        <v>0</v>
      </c>
      <c r="AG42" s="28"/>
    </row>
    <row r="43" spans="1:33" ht="12.75" customHeight="1" hidden="1">
      <c r="A43" s="23" t="s">
        <v>39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>
        <f t="shared" si="2"/>
        <v>0</v>
      </c>
      <c r="Z43" s="24"/>
      <c r="AA43" s="24"/>
      <c r="AB43" s="24"/>
      <c r="AC43" s="24"/>
      <c r="AD43" s="24"/>
      <c r="AE43" s="24">
        <f t="shared" si="3"/>
        <v>0</v>
      </c>
      <c r="AF43" s="25">
        <f>+'St of Net Assets - GA'!W43-'St of Activities - GA Exp'!AE43</f>
        <v>0</v>
      </c>
      <c r="AG43" s="28"/>
    </row>
    <row r="44" spans="1:33" ht="12.75" customHeight="1">
      <c r="A44" s="23" t="s">
        <v>40</v>
      </c>
      <c r="B44" s="24"/>
      <c r="C44" s="24">
        <v>2699427</v>
      </c>
      <c r="D44" s="24"/>
      <c r="E44" s="24">
        <v>1486018</v>
      </c>
      <c r="F44" s="24"/>
      <c r="G44" s="24">
        <v>3085403</v>
      </c>
      <c r="H44" s="24"/>
      <c r="I44" s="24">
        <v>5029734</v>
      </c>
      <c r="J44" s="24"/>
      <c r="K44" s="24">
        <v>1868426</v>
      </c>
      <c r="L44" s="24"/>
      <c r="M44" s="24">
        <v>11353050</v>
      </c>
      <c r="N44" s="24"/>
      <c r="O44" s="24">
        <v>646451</v>
      </c>
      <c r="P44" s="24"/>
      <c r="Q44" s="24">
        <v>0</v>
      </c>
      <c r="R44" s="24"/>
      <c r="S44" s="24">
        <f>550624+463417</f>
        <v>1014041</v>
      </c>
      <c r="T44" s="24"/>
      <c r="U44" s="24">
        <v>172449</v>
      </c>
      <c r="V44" s="24"/>
      <c r="W44" s="24">
        <v>18003</v>
      </c>
      <c r="X44" s="24"/>
      <c r="Y44" s="24">
        <f t="shared" si="2"/>
        <v>27373002</v>
      </c>
      <c r="Z44" s="24"/>
      <c r="AA44" s="24">
        <v>1846434</v>
      </c>
      <c r="AB44" s="24"/>
      <c r="AC44" s="24">
        <v>55592149</v>
      </c>
      <c r="AD44" s="24"/>
      <c r="AE44" s="24">
        <f t="shared" si="3"/>
        <v>57438583</v>
      </c>
      <c r="AF44" s="25">
        <f>+'St of Net Assets - GA'!W44-'St of Activities - GA Exp'!AE44</f>
        <v>0</v>
      </c>
      <c r="AG44" s="28"/>
    </row>
    <row r="45" spans="1:33" ht="12.75" customHeight="1" hidden="1">
      <c r="A45" s="23" t="s">
        <v>41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>
        <f t="shared" si="2"/>
        <v>0</v>
      </c>
      <c r="Z45" s="24"/>
      <c r="AA45" s="24"/>
      <c r="AB45" s="24"/>
      <c r="AC45" s="24"/>
      <c r="AD45" s="24"/>
      <c r="AE45" s="24">
        <f aca="true" t="shared" si="4" ref="AE45:AE98">+AC45+AA45</f>
        <v>0</v>
      </c>
      <c r="AF45" s="25">
        <f>+'St of Net Assets - GA'!W45-'St of Activities - GA Exp'!AE45</f>
        <v>0</v>
      </c>
      <c r="AG45" s="28"/>
    </row>
    <row r="46" spans="1:33" ht="12.75" customHeight="1">
      <c r="A46" s="23" t="s">
        <v>42</v>
      </c>
      <c r="B46" s="24"/>
      <c r="C46" s="24">
        <v>2915575</v>
      </c>
      <c r="D46" s="143"/>
      <c r="E46" s="24">
        <v>2038093</v>
      </c>
      <c r="F46" s="143"/>
      <c r="G46" s="24">
        <v>3685285</v>
      </c>
      <c r="H46" s="143"/>
      <c r="I46" s="24">
        <v>4290537</v>
      </c>
      <c r="J46" s="143"/>
      <c r="K46" s="24">
        <v>5091229</v>
      </c>
      <c r="L46" s="143"/>
      <c r="M46" s="24">
        <v>6212127</v>
      </c>
      <c r="N46" s="143"/>
      <c r="O46" s="24">
        <v>922280</v>
      </c>
      <c r="P46" s="143"/>
      <c r="Q46" s="24">
        <v>225893</v>
      </c>
      <c r="R46" s="143"/>
      <c r="S46" s="24">
        <v>0</v>
      </c>
      <c r="T46" s="143"/>
      <c r="U46" s="24">
        <v>0</v>
      </c>
      <c r="V46" s="143"/>
      <c r="W46" s="24">
        <v>24901</v>
      </c>
      <c r="X46" s="143"/>
      <c r="Y46" s="143">
        <f t="shared" si="2"/>
        <v>25405920</v>
      </c>
      <c r="Z46" s="143"/>
      <c r="AA46" s="24">
        <v>1186481</v>
      </c>
      <c r="AB46" s="143"/>
      <c r="AC46" s="24">
        <v>36216780</v>
      </c>
      <c r="AD46" s="143"/>
      <c r="AE46" s="143">
        <f t="shared" si="4"/>
        <v>37403261</v>
      </c>
      <c r="AF46" s="25">
        <f>+'St of Net Assets - GA'!W46-'St of Activities - GA Exp'!AE46</f>
        <v>0</v>
      </c>
      <c r="AG46" s="28"/>
    </row>
    <row r="47" spans="1:33" ht="12.75" customHeight="1">
      <c r="A47" s="23" t="s">
        <v>43</v>
      </c>
      <c r="B47" s="24"/>
      <c r="C47" s="24">
        <v>4623230</v>
      </c>
      <c r="D47" s="143"/>
      <c r="E47" s="24">
        <v>1818661</v>
      </c>
      <c r="F47" s="143"/>
      <c r="G47" s="24">
        <v>3939949</v>
      </c>
      <c r="H47" s="143"/>
      <c r="I47" s="24">
        <v>5699451</v>
      </c>
      <c r="J47" s="143"/>
      <c r="K47" s="24">
        <v>253226</v>
      </c>
      <c r="L47" s="143"/>
      <c r="M47" s="24">
        <v>12281887</v>
      </c>
      <c r="N47" s="143"/>
      <c r="O47" s="24">
        <v>0</v>
      </c>
      <c r="P47" s="143"/>
      <c r="Q47" s="24">
        <v>232446</v>
      </c>
      <c r="R47" s="143"/>
      <c r="S47" s="24">
        <v>0</v>
      </c>
      <c r="T47" s="143"/>
      <c r="U47" s="24">
        <v>0</v>
      </c>
      <c r="V47" s="143"/>
      <c r="W47" s="24">
        <v>146958</v>
      </c>
      <c r="X47" s="143"/>
      <c r="Y47" s="143">
        <f t="shared" si="2"/>
        <v>28995808</v>
      </c>
      <c r="Z47" s="143"/>
      <c r="AA47" s="24">
        <v>-2584433</v>
      </c>
      <c r="AB47" s="143"/>
      <c r="AC47" s="24">
        <v>35338568</v>
      </c>
      <c r="AD47" s="143"/>
      <c r="AE47" s="143">
        <f t="shared" si="4"/>
        <v>32754135</v>
      </c>
      <c r="AF47" s="25">
        <f>+'St of Net Assets - GA'!W47-'St of Activities - GA Exp'!AE47</f>
        <v>0</v>
      </c>
      <c r="AG47" s="28"/>
    </row>
    <row r="48" spans="1:33" ht="12.75" customHeight="1">
      <c r="A48" s="23" t="s">
        <v>44</v>
      </c>
      <c r="B48" s="24"/>
      <c r="C48" s="24">
        <v>7101154</v>
      </c>
      <c r="D48" s="143"/>
      <c r="E48" s="24">
        <v>1872299</v>
      </c>
      <c r="F48" s="143"/>
      <c r="G48" s="24">
        <v>5997965</v>
      </c>
      <c r="H48" s="143"/>
      <c r="I48" s="24">
        <v>5859620</v>
      </c>
      <c r="J48" s="143"/>
      <c r="K48" s="24">
        <v>9883231</v>
      </c>
      <c r="L48" s="143"/>
      <c r="M48" s="24">
        <v>10479826</v>
      </c>
      <c r="N48" s="143"/>
      <c r="O48" s="24">
        <v>0</v>
      </c>
      <c r="P48" s="143"/>
      <c r="Q48" s="24">
        <v>0</v>
      </c>
      <c r="R48" s="143"/>
      <c r="S48" s="24">
        <v>311818</v>
      </c>
      <c r="T48" s="143"/>
      <c r="U48" s="24">
        <v>0</v>
      </c>
      <c r="V48" s="143"/>
      <c r="W48" s="24">
        <v>395755</v>
      </c>
      <c r="X48" s="143"/>
      <c r="Y48" s="143">
        <f t="shared" si="2"/>
        <v>41901668</v>
      </c>
      <c r="Z48" s="143"/>
      <c r="AA48" s="24">
        <v>-1335152</v>
      </c>
      <c r="AB48" s="143"/>
      <c r="AC48" s="24">
        <v>48832490</v>
      </c>
      <c r="AD48" s="143"/>
      <c r="AE48" s="143">
        <f t="shared" si="4"/>
        <v>47497338</v>
      </c>
      <c r="AF48" s="25">
        <f>+'St of Net Assets - GA'!W48-'St of Activities - GA Exp'!AE48</f>
        <v>0</v>
      </c>
      <c r="AG48" s="28"/>
    </row>
    <row r="49" spans="1:33" ht="12.75" customHeight="1" hidden="1">
      <c r="A49" s="23" t="s">
        <v>239</v>
      </c>
      <c r="B49" s="24"/>
      <c r="C49" s="24"/>
      <c r="D49" s="143"/>
      <c r="E49" s="24"/>
      <c r="F49" s="143"/>
      <c r="G49" s="24"/>
      <c r="H49" s="143"/>
      <c r="I49" s="24"/>
      <c r="J49" s="143"/>
      <c r="K49" s="24"/>
      <c r="L49" s="143"/>
      <c r="M49" s="24"/>
      <c r="N49" s="143"/>
      <c r="O49" s="24"/>
      <c r="P49" s="143"/>
      <c r="Q49" s="24"/>
      <c r="R49" s="143"/>
      <c r="S49" s="24"/>
      <c r="T49" s="143"/>
      <c r="U49" s="24"/>
      <c r="V49" s="143"/>
      <c r="W49" s="24"/>
      <c r="X49" s="143"/>
      <c r="Y49" s="143">
        <f t="shared" si="2"/>
        <v>0</v>
      </c>
      <c r="Z49" s="143"/>
      <c r="AA49" s="24"/>
      <c r="AB49" s="143"/>
      <c r="AC49" s="24"/>
      <c r="AD49" s="143"/>
      <c r="AE49" s="143">
        <f t="shared" si="4"/>
        <v>0</v>
      </c>
      <c r="AF49" s="25">
        <f>+'St of Net Assets - GA'!W49-'St of Activities - GA Exp'!AE49</f>
        <v>0</v>
      </c>
      <c r="AG49" s="28"/>
    </row>
    <row r="50" spans="1:33" ht="12.75" customHeight="1">
      <c r="A50" s="23" t="s">
        <v>46</v>
      </c>
      <c r="B50" s="24"/>
      <c r="C50" s="24">
        <v>6785618</v>
      </c>
      <c r="D50" s="143"/>
      <c r="E50" s="24">
        <v>3813796</v>
      </c>
      <c r="F50" s="143"/>
      <c r="G50" s="24">
        <v>9934028</v>
      </c>
      <c r="H50" s="143"/>
      <c r="I50" s="24">
        <v>7247033</v>
      </c>
      <c r="J50" s="143"/>
      <c r="K50" s="24">
        <v>17956816</v>
      </c>
      <c r="L50" s="143"/>
      <c r="M50" s="24">
        <v>13297112</v>
      </c>
      <c r="N50" s="143"/>
      <c r="O50" s="24">
        <v>1659847</v>
      </c>
      <c r="P50" s="143"/>
      <c r="Q50" s="24">
        <v>69160</v>
      </c>
      <c r="R50" s="143"/>
      <c r="S50" s="24">
        <v>0</v>
      </c>
      <c r="T50" s="143"/>
      <c r="U50" s="24">
        <v>0</v>
      </c>
      <c r="V50" s="143"/>
      <c r="W50" s="24">
        <v>1009555</v>
      </c>
      <c r="X50" s="143"/>
      <c r="Y50" s="143">
        <f t="shared" si="2"/>
        <v>61772965</v>
      </c>
      <c r="Z50" s="143"/>
      <c r="AA50" s="24">
        <v>5766838</v>
      </c>
      <c r="AB50" s="143"/>
      <c r="AC50" s="24">
        <v>109600997</v>
      </c>
      <c r="AD50" s="143"/>
      <c r="AE50" s="143">
        <f t="shared" si="4"/>
        <v>115367835</v>
      </c>
      <c r="AF50" s="25">
        <f>+'St of Net Assets - GA'!W50-'St of Activities - GA Exp'!AE50</f>
        <v>0</v>
      </c>
      <c r="AG50" s="28"/>
    </row>
    <row r="51" spans="1:33" ht="12.75" customHeight="1">
      <c r="A51" s="23" t="s">
        <v>47</v>
      </c>
      <c r="B51" s="24"/>
      <c r="C51" s="24">
        <v>7397641</v>
      </c>
      <c r="D51" s="143"/>
      <c r="E51" s="24">
        <v>2125445</v>
      </c>
      <c r="F51" s="143"/>
      <c r="G51" s="24">
        <v>7226961</v>
      </c>
      <c r="H51" s="143"/>
      <c r="I51" s="24">
        <v>6096958</v>
      </c>
      <c r="J51" s="143"/>
      <c r="K51" s="24">
        <v>522131</v>
      </c>
      <c r="L51" s="143"/>
      <c r="M51" s="24">
        <v>12485374</v>
      </c>
      <c r="N51" s="143"/>
      <c r="O51" s="24">
        <v>0</v>
      </c>
      <c r="P51" s="143"/>
      <c r="Q51" s="24">
        <v>0</v>
      </c>
      <c r="R51" s="143"/>
      <c r="S51" s="24">
        <v>0</v>
      </c>
      <c r="T51" s="143"/>
      <c r="U51" s="24">
        <v>2052914</v>
      </c>
      <c r="V51" s="143"/>
      <c r="W51" s="24">
        <v>349611</v>
      </c>
      <c r="X51" s="143"/>
      <c r="Y51" s="143">
        <f t="shared" si="2"/>
        <v>38257035</v>
      </c>
      <c r="Z51" s="143"/>
      <c r="AA51" s="24">
        <v>2202226</v>
      </c>
      <c r="AB51" s="143"/>
      <c r="AC51" s="24">
        <v>77547821</v>
      </c>
      <c r="AD51" s="143"/>
      <c r="AE51" s="143">
        <f t="shared" si="4"/>
        <v>79750047</v>
      </c>
      <c r="AF51" s="25">
        <f>+'St of Net Assets - GA'!W51-'St of Activities - GA Exp'!AE51</f>
        <v>0</v>
      </c>
      <c r="AG51" s="28"/>
    </row>
    <row r="52" spans="1:33" ht="12.75" customHeight="1" hidden="1">
      <c r="A52" s="23" t="s">
        <v>48</v>
      </c>
      <c r="B52" s="24"/>
      <c r="C52" s="24"/>
      <c r="D52" s="143"/>
      <c r="E52" s="24"/>
      <c r="F52" s="143"/>
      <c r="G52" s="24"/>
      <c r="H52" s="143"/>
      <c r="I52" s="24"/>
      <c r="J52" s="143"/>
      <c r="K52" s="24"/>
      <c r="L52" s="143"/>
      <c r="M52" s="24"/>
      <c r="N52" s="143"/>
      <c r="O52" s="24"/>
      <c r="P52" s="143"/>
      <c r="Q52" s="24"/>
      <c r="R52" s="143"/>
      <c r="S52" s="24"/>
      <c r="T52" s="143"/>
      <c r="U52" s="24"/>
      <c r="V52" s="143"/>
      <c r="W52" s="24"/>
      <c r="X52" s="143"/>
      <c r="Y52" s="143">
        <f t="shared" si="2"/>
        <v>0</v>
      </c>
      <c r="Z52" s="143"/>
      <c r="AA52" s="24"/>
      <c r="AB52" s="143"/>
      <c r="AC52" s="24"/>
      <c r="AD52" s="143"/>
      <c r="AE52" s="143">
        <f t="shared" si="4"/>
        <v>0</v>
      </c>
      <c r="AF52" s="25">
        <f>+'St of Net Assets - GA'!W52-'St of Activities - GA Exp'!AE52</f>
        <v>0</v>
      </c>
      <c r="AG52" s="28"/>
    </row>
    <row r="53" spans="1:33" ht="12.75" customHeight="1" hidden="1">
      <c r="A53" s="23" t="s">
        <v>169</v>
      </c>
      <c r="B53" s="24"/>
      <c r="C53" s="24"/>
      <c r="D53" s="143"/>
      <c r="E53" s="24"/>
      <c r="F53" s="143"/>
      <c r="G53" s="24"/>
      <c r="H53" s="143"/>
      <c r="I53" s="24"/>
      <c r="J53" s="143"/>
      <c r="K53" s="24"/>
      <c r="L53" s="143"/>
      <c r="M53" s="24"/>
      <c r="N53" s="143"/>
      <c r="O53" s="24"/>
      <c r="P53" s="143"/>
      <c r="Q53" s="24"/>
      <c r="R53" s="143"/>
      <c r="S53" s="24"/>
      <c r="T53" s="143"/>
      <c r="U53" s="24"/>
      <c r="V53" s="143"/>
      <c r="W53" s="24"/>
      <c r="X53" s="143"/>
      <c r="Y53" s="143">
        <f t="shared" si="2"/>
        <v>0</v>
      </c>
      <c r="Z53" s="143"/>
      <c r="AA53" s="24"/>
      <c r="AB53" s="143"/>
      <c r="AC53" s="24"/>
      <c r="AD53" s="143"/>
      <c r="AE53" s="143">
        <f t="shared" si="4"/>
        <v>0</v>
      </c>
      <c r="AF53" s="25">
        <f>+'St of Net Assets - GA'!W53-'St of Activities - GA Exp'!AE53</f>
        <v>0</v>
      </c>
      <c r="AG53" s="28"/>
    </row>
    <row r="54" spans="1:33" ht="12.75" customHeight="1">
      <c r="A54" s="23" t="s">
        <v>49</v>
      </c>
      <c r="B54" s="24"/>
      <c r="C54" s="24">
        <v>28517262</v>
      </c>
      <c r="D54" s="143"/>
      <c r="E54" s="24">
        <v>0</v>
      </c>
      <c r="F54" s="143"/>
      <c r="G54" s="24">
        <v>22312572</v>
      </c>
      <c r="H54" s="143"/>
      <c r="I54" s="24">
        <v>8625735</v>
      </c>
      <c r="J54" s="143"/>
      <c r="K54" s="24">
        <v>4606607</v>
      </c>
      <c r="L54" s="143"/>
      <c r="M54" s="24">
        <v>40250490</v>
      </c>
      <c r="N54" s="143"/>
      <c r="O54" s="24">
        <v>1283293</v>
      </c>
      <c r="P54" s="143"/>
      <c r="Q54" s="24">
        <v>552157</v>
      </c>
      <c r="R54" s="143"/>
      <c r="S54" s="24">
        <v>0</v>
      </c>
      <c r="T54" s="143"/>
      <c r="U54" s="24">
        <v>0</v>
      </c>
      <c r="V54" s="143"/>
      <c r="W54" s="24">
        <v>447078</v>
      </c>
      <c r="X54" s="143"/>
      <c r="Y54" s="143">
        <f>SUM(C54:W54)</f>
        <v>106595194</v>
      </c>
      <c r="Z54" s="143"/>
      <c r="AA54" s="24">
        <v>-514815</v>
      </c>
      <c r="AB54" s="143"/>
      <c r="AC54" s="24">
        <v>104401339</v>
      </c>
      <c r="AD54" s="143"/>
      <c r="AE54" s="143">
        <f t="shared" si="4"/>
        <v>103886524</v>
      </c>
      <c r="AF54" s="25">
        <f>+'St of Net Assets - GA'!W54-'St of Activities - GA Exp'!AE54</f>
        <v>0</v>
      </c>
      <c r="AG54" s="28"/>
    </row>
    <row r="55" spans="1:33" ht="12.75" customHeight="1">
      <c r="A55" s="23" t="s">
        <v>50</v>
      </c>
      <c r="B55" s="24"/>
      <c r="C55" s="24">
        <v>4996349</v>
      </c>
      <c r="D55" s="143"/>
      <c r="E55" s="24">
        <v>2775220</v>
      </c>
      <c r="F55" s="143"/>
      <c r="G55" s="24">
        <v>5523433</v>
      </c>
      <c r="H55" s="143"/>
      <c r="I55" s="24">
        <v>6424508</v>
      </c>
      <c r="J55" s="143"/>
      <c r="K55" s="24">
        <v>1178610</v>
      </c>
      <c r="L55" s="143"/>
      <c r="M55" s="24">
        <v>15162066</v>
      </c>
      <c r="N55" s="143"/>
      <c r="O55" s="24">
        <v>875339</v>
      </c>
      <c r="P55" s="143"/>
      <c r="Q55" s="24">
        <v>20166</v>
      </c>
      <c r="R55" s="143"/>
      <c r="S55" s="24">
        <v>52830</v>
      </c>
      <c r="T55" s="143"/>
      <c r="U55" s="24">
        <v>0</v>
      </c>
      <c r="V55" s="143"/>
      <c r="W55" s="24">
        <v>286276</v>
      </c>
      <c r="X55" s="143"/>
      <c r="Y55" s="143">
        <f t="shared" si="2"/>
        <v>37294797</v>
      </c>
      <c r="Z55" s="143"/>
      <c r="AA55" s="24">
        <v>-1383380</v>
      </c>
      <c r="AB55" s="143"/>
      <c r="AC55" s="24">
        <v>83070265</v>
      </c>
      <c r="AD55" s="143"/>
      <c r="AE55" s="143">
        <f t="shared" si="4"/>
        <v>81686885</v>
      </c>
      <c r="AF55" s="25">
        <f>+'St of Net Assets - GA'!W55-'St of Activities - GA Exp'!AE55</f>
        <v>0</v>
      </c>
      <c r="AG55" s="28"/>
    </row>
    <row r="56" spans="1:33" ht="12.75" customHeight="1">
      <c r="A56" s="23" t="s">
        <v>244</v>
      </c>
      <c r="B56" s="24"/>
      <c r="C56" s="24">
        <v>31020810</v>
      </c>
      <c r="D56" s="143"/>
      <c r="E56" s="24">
        <v>19784105</v>
      </c>
      <c r="F56" s="143"/>
      <c r="G56" s="24">
        <v>28659625</v>
      </c>
      <c r="H56" s="143"/>
      <c r="I56" s="24">
        <v>14726041</v>
      </c>
      <c r="J56" s="143"/>
      <c r="K56" s="24">
        <v>47985113</v>
      </c>
      <c r="L56" s="143"/>
      <c r="M56" s="24">
        <v>64476511</v>
      </c>
      <c r="N56" s="143"/>
      <c r="O56" s="24">
        <v>446951</v>
      </c>
      <c r="P56" s="143"/>
      <c r="Q56" s="24">
        <v>0</v>
      </c>
      <c r="R56" s="143"/>
      <c r="S56" s="24">
        <v>0</v>
      </c>
      <c r="T56" s="143"/>
      <c r="U56" s="24">
        <v>0</v>
      </c>
      <c r="V56" s="143"/>
      <c r="W56" s="24">
        <v>1366773</v>
      </c>
      <c r="X56" s="143"/>
      <c r="Y56" s="143">
        <f t="shared" si="2"/>
        <v>208465929</v>
      </c>
      <c r="Z56" s="143"/>
      <c r="AA56" s="24">
        <v>1310918</v>
      </c>
      <c r="AB56" s="143"/>
      <c r="AC56" s="24">
        <v>234168435</v>
      </c>
      <c r="AD56" s="143"/>
      <c r="AE56" s="143">
        <f t="shared" si="4"/>
        <v>235479353</v>
      </c>
      <c r="AF56" s="25">
        <f>+'St of Net Assets - GA'!W56-'St of Activities - GA Exp'!AE56</f>
        <v>0</v>
      </c>
      <c r="AG56" s="28"/>
    </row>
    <row r="57" spans="1:33" ht="12.75" customHeight="1">
      <c r="A57" s="23" t="s">
        <v>182</v>
      </c>
      <c r="B57" s="24"/>
      <c r="C57" s="24">
        <v>42123307</v>
      </c>
      <c r="D57" s="143"/>
      <c r="E57" s="24">
        <v>59855126</v>
      </c>
      <c r="F57" s="143"/>
      <c r="G57" s="24">
        <v>73539160</v>
      </c>
      <c r="H57" s="143"/>
      <c r="I57" s="24">
        <v>14040555</v>
      </c>
      <c r="J57" s="143"/>
      <c r="K57" s="24">
        <v>140443284</v>
      </c>
      <c r="L57" s="143"/>
      <c r="M57" s="24">
        <v>89825983</v>
      </c>
      <c r="N57" s="143"/>
      <c r="O57" s="24">
        <v>0</v>
      </c>
      <c r="P57" s="143"/>
      <c r="Q57" s="24">
        <v>17604097</v>
      </c>
      <c r="R57" s="143"/>
      <c r="S57" s="24">
        <v>0</v>
      </c>
      <c r="T57" s="143"/>
      <c r="U57" s="24">
        <v>0</v>
      </c>
      <c r="V57" s="143"/>
      <c r="W57" s="24">
        <v>5408065</v>
      </c>
      <c r="X57" s="143"/>
      <c r="Y57" s="143">
        <f t="shared" si="2"/>
        <v>442839577</v>
      </c>
      <c r="Z57" s="143"/>
      <c r="AA57" s="24">
        <v>3829242</v>
      </c>
      <c r="AB57" s="143"/>
      <c r="AC57" s="24">
        <v>394615914</v>
      </c>
      <c r="AD57" s="143"/>
      <c r="AE57" s="143">
        <f t="shared" si="4"/>
        <v>398445156</v>
      </c>
      <c r="AF57" s="25">
        <f>+'St of Net Assets - GA'!W57-'St of Activities - GA Exp'!AE57</f>
        <v>0</v>
      </c>
      <c r="AG57" s="28"/>
    </row>
    <row r="58" spans="1:33" ht="12.75" customHeight="1" hidden="1">
      <c r="A58" s="23" t="s">
        <v>52</v>
      </c>
      <c r="B58" s="24"/>
      <c r="C58" s="24"/>
      <c r="D58" s="143"/>
      <c r="E58" s="24"/>
      <c r="F58" s="143"/>
      <c r="G58" s="24"/>
      <c r="H58" s="143"/>
      <c r="I58" s="24"/>
      <c r="J58" s="143"/>
      <c r="K58" s="24"/>
      <c r="L58" s="143"/>
      <c r="M58" s="24"/>
      <c r="N58" s="143"/>
      <c r="O58" s="24"/>
      <c r="P58" s="143"/>
      <c r="Q58" s="24"/>
      <c r="R58" s="143"/>
      <c r="S58" s="24"/>
      <c r="T58" s="143"/>
      <c r="U58" s="24"/>
      <c r="V58" s="143"/>
      <c r="W58" s="24"/>
      <c r="X58" s="143"/>
      <c r="Y58" s="143">
        <f t="shared" si="2"/>
        <v>0</v>
      </c>
      <c r="Z58" s="143"/>
      <c r="AA58" s="24"/>
      <c r="AB58" s="143"/>
      <c r="AC58" s="24"/>
      <c r="AD58" s="143"/>
      <c r="AE58" s="143">
        <f t="shared" si="4"/>
        <v>0</v>
      </c>
      <c r="AF58" s="25">
        <f>+'St of Net Assets - GA'!W58-'St of Activities - GA Exp'!AE58</f>
        <v>0</v>
      </c>
      <c r="AG58" s="28"/>
    </row>
    <row r="59" spans="1:33" ht="12.75" customHeight="1">
      <c r="A59" s="23" t="s">
        <v>53</v>
      </c>
      <c r="B59" s="24"/>
      <c r="C59" s="24">
        <v>25901088</v>
      </c>
      <c r="D59" s="143"/>
      <c r="E59" s="24">
        <v>20253413</v>
      </c>
      <c r="F59" s="143"/>
      <c r="G59" s="24">
        <v>22455341</v>
      </c>
      <c r="H59" s="143"/>
      <c r="I59" s="24">
        <v>13543364</v>
      </c>
      <c r="J59" s="143"/>
      <c r="K59" s="24">
        <v>50833349</v>
      </c>
      <c r="L59" s="143"/>
      <c r="M59" s="24">
        <v>38508481</v>
      </c>
      <c r="N59" s="143"/>
      <c r="O59" s="24">
        <v>0</v>
      </c>
      <c r="P59" s="143"/>
      <c r="Q59" s="24">
        <v>0</v>
      </c>
      <c r="R59" s="143"/>
      <c r="S59" s="24">
        <v>0</v>
      </c>
      <c r="T59" s="143"/>
      <c r="U59" s="24">
        <v>0</v>
      </c>
      <c r="V59" s="143"/>
      <c r="W59" s="24">
        <v>2349871</v>
      </c>
      <c r="X59" s="143"/>
      <c r="Y59" s="143">
        <f t="shared" si="2"/>
        <v>173844907</v>
      </c>
      <c r="Z59" s="143"/>
      <c r="AA59" s="24">
        <v>8440118</v>
      </c>
      <c r="AB59" s="143"/>
      <c r="AC59" s="24">
        <v>194578149</v>
      </c>
      <c r="AD59" s="143"/>
      <c r="AE59" s="143">
        <f t="shared" si="4"/>
        <v>203018267</v>
      </c>
      <c r="AF59" s="25">
        <f>+'St of Net Assets - GA'!W59-'St of Activities - GA Exp'!AE59</f>
        <v>0</v>
      </c>
      <c r="AG59" s="28"/>
    </row>
    <row r="60" spans="1:33" ht="12.75" customHeight="1">
      <c r="A60" s="23" t="s">
        <v>54</v>
      </c>
      <c r="B60" s="24"/>
      <c r="C60" s="24">
        <v>6327585</v>
      </c>
      <c r="D60" s="143"/>
      <c r="E60" s="24">
        <v>2715638</v>
      </c>
      <c r="F60" s="143"/>
      <c r="G60" s="24">
        <v>10223590</v>
      </c>
      <c r="H60" s="143"/>
      <c r="I60" s="24">
        <v>4170011</v>
      </c>
      <c r="J60" s="143"/>
      <c r="K60" s="24">
        <v>7261710</v>
      </c>
      <c r="L60" s="143"/>
      <c r="M60" s="24">
        <v>10031512</v>
      </c>
      <c r="N60" s="143"/>
      <c r="O60" s="24">
        <v>0</v>
      </c>
      <c r="P60" s="143"/>
      <c r="Q60" s="24">
        <v>8984</v>
      </c>
      <c r="R60" s="143"/>
      <c r="S60" s="24">
        <v>0</v>
      </c>
      <c r="T60" s="143"/>
      <c r="U60" s="24">
        <f>212793+3600+11530+159990+140000</f>
        <v>527913</v>
      </c>
      <c r="V60" s="143"/>
      <c r="W60" s="24">
        <v>517964</v>
      </c>
      <c r="X60" s="143"/>
      <c r="Y60" s="143">
        <f t="shared" si="2"/>
        <v>41784907</v>
      </c>
      <c r="Z60" s="143"/>
      <c r="AA60" s="24">
        <v>6112114</v>
      </c>
      <c r="AB60" s="143"/>
      <c r="AC60" s="24">
        <v>83784705</v>
      </c>
      <c r="AD60" s="143"/>
      <c r="AE60" s="143">
        <f t="shared" si="4"/>
        <v>89896819</v>
      </c>
      <c r="AF60" s="25">
        <f>+'St of Net Assets - GA'!W60-'St of Activities - GA Exp'!AE60</f>
        <v>0</v>
      </c>
      <c r="AG60" s="28"/>
    </row>
    <row r="61" spans="1:33" ht="12.75" customHeight="1">
      <c r="A61" s="23" t="s">
        <v>55</v>
      </c>
      <c r="B61" s="24"/>
      <c r="C61" s="24">
        <v>21535975</v>
      </c>
      <c r="D61" s="143"/>
      <c r="E61" s="24">
        <v>10678543</v>
      </c>
      <c r="F61" s="143"/>
      <c r="G61" s="24">
        <v>19948638</v>
      </c>
      <c r="H61" s="143"/>
      <c r="I61" s="24">
        <v>12764052</v>
      </c>
      <c r="J61" s="143"/>
      <c r="K61" s="24">
        <v>25038508</v>
      </c>
      <c r="L61" s="143"/>
      <c r="M61" s="24">
        <v>13651163</v>
      </c>
      <c r="N61" s="143"/>
      <c r="O61" s="24">
        <f>1044544+319065</f>
        <v>1363609</v>
      </c>
      <c r="P61" s="143"/>
      <c r="Q61" s="24">
        <v>0</v>
      </c>
      <c r="R61" s="143"/>
      <c r="S61" s="24">
        <v>0</v>
      </c>
      <c r="T61" s="143"/>
      <c r="U61" s="24">
        <v>0</v>
      </c>
      <c r="V61" s="143"/>
      <c r="W61" s="24">
        <v>272329</v>
      </c>
      <c r="X61" s="143"/>
      <c r="Y61" s="143">
        <f t="shared" si="2"/>
        <v>105252817</v>
      </c>
      <c r="Z61" s="143"/>
      <c r="AA61" s="24">
        <v>-811279</v>
      </c>
      <c r="AB61" s="143"/>
      <c r="AC61" s="24">
        <v>100352997</v>
      </c>
      <c r="AD61" s="143"/>
      <c r="AE61" s="143">
        <f t="shared" si="4"/>
        <v>99541718</v>
      </c>
      <c r="AF61" s="25">
        <f>+'St of Net Assets - GA'!W61-'St of Activities - GA Exp'!AE61</f>
        <v>0</v>
      </c>
      <c r="AG61" s="28"/>
    </row>
    <row r="62" spans="1:33" ht="12.75" customHeight="1" hidden="1">
      <c r="A62" s="23" t="s">
        <v>170</v>
      </c>
      <c r="B62" s="24"/>
      <c r="C62" s="24"/>
      <c r="D62" s="143"/>
      <c r="E62" s="24"/>
      <c r="F62" s="143"/>
      <c r="G62" s="24"/>
      <c r="H62" s="143"/>
      <c r="I62" s="24"/>
      <c r="J62" s="143"/>
      <c r="K62" s="24"/>
      <c r="L62" s="143"/>
      <c r="M62" s="24"/>
      <c r="N62" s="143"/>
      <c r="O62" s="24"/>
      <c r="P62" s="143"/>
      <c r="Q62" s="24"/>
      <c r="R62" s="143"/>
      <c r="S62" s="24"/>
      <c r="T62" s="143"/>
      <c r="U62" s="24"/>
      <c r="V62" s="143"/>
      <c r="W62" s="24"/>
      <c r="X62" s="143"/>
      <c r="Y62" s="143">
        <f t="shared" si="2"/>
        <v>0</v>
      </c>
      <c r="Z62" s="143"/>
      <c r="AA62" s="24"/>
      <c r="AB62" s="143"/>
      <c r="AC62" s="24"/>
      <c r="AD62" s="143"/>
      <c r="AE62" s="143">
        <f t="shared" si="4"/>
        <v>0</v>
      </c>
      <c r="AF62" s="25">
        <f>+'St of Net Assets - GA'!W62-'St of Activities - GA Exp'!AE62</f>
        <v>0</v>
      </c>
      <c r="AG62" s="28"/>
    </row>
    <row r="63" spans="1:33" ht="12.75" customHeight="1" hidden="1">
      <c r="A63" s="23" t="s">
        <v>56</v>
      </c>
      <c r="B63" s="24"/>
      <c r="C63" s="24"/>
      <c r="D63" s="143"/>
      <c r="E63" s="24"/>
      <c r="F63" s="143"/>
      <c r="G63" s="24"/>
      <c r="H63" s="143"/>
      <c r="I63" s="24"/>
      <c r="J63" s="143"/>
      <c r="K63" s="24"/>
      <c r="L63" s="143"/>
      <c r="M63" s="24"/>
      <c r="N63" s="143"/>
      <c r="O63" s="24"/>
      <c r="P63" s="143"/>
      <c r="Q63" s="24"/>
      <c r="R63" s="143"/>
      <c r="S63" s="24"/>
      <c r="T63" s="143"/>
      <c r="U63" s="24"/>
      <c r="V63" s="143"/>
      <c r="W63" s="24"/>
      <c r="X63" s="143"/>
      <c r="Y63" s="143">
        <f t="shared" si="2"/>
        <v>0</v>
      </c>
      <c r="Z63" s="143"/>
      <c r="AA63" s="24"/>
      <c r="AB63" s="143"/>
      <c r="AC63" s="24"/>
      <c r="AD63" s="143"/>
      <c r="AE63" s="143">
        <f t="shared" si="4"/>
        <v>0</v>
      </c>
      <c r="AF63" s="25">
        <f>+'St of Net Assets - GA'!W63-'St of Activities - GA Exp'!AE63</f>
        <v>0</v>
      </c>
      <c r="AG63" s="28"/>
    </row>
    <row r="64" spans="1:33" ht="12.75" customHeight="1">
      <c r="A64" s="23" t="s">
        <v>57</v>
      </c>
      <c r="B64" s="24"/>
      <c r="C64" s="24">
        <v>14671764</v>
      </c>
      <c r="D64" s="143"/>
      <c r="E64" s="24">
        <v>0</v>
      </c>
      <c r="F64" s="143"/>
      <c r="G64" s="24">
        <v>16418718</v>
      </c>
      <c r="H64" s="143"/>
      <c r="I64" s="24">
        <v>14052691</v>
      </c>
      <c r="J64" s="143"/>
      <c r="K64" s="24">
        <v>13390803</v>
      </c>
      <c r="L64" s="143"/>
      <c r="M64" s="24">
        <v>12390060</v>
      </c>
      <c r="N64" s="143"/>
      <c r="O64" s="24">
        <v>0</v>
      </c>
      <c r="P64" s="143"/>
      <c r="Q64" s="24">
        <v>542840</v>
      </c>
      <c r="R64" s="143"/>
      <c r="S64" s="24">
        <v>0</v>
      </c>
      <c r="T64" s="143"/>
      <c r="U64" s="24">
        <v>0</v>
      </c>
      <c r="V64" s="143"/>
      <c r="W64" s="24">
        <v>496312</v>
      </c>
      <c r="X64" s="143"/>
      <c r="Y64" s="143">
        <f t="shared" si="2"/>
        <v>71963188</v>
      </c>
      <c r="Z64" s="143"/>
      <c r="AA64" s="24">
        <v>3298791</v>
      </c>
      <c r="AB64" s="143"/>
      <c r="AC64" s="24">
        <v>122813681</v>
      </c>
      <c r="AD64" s="143"/>
      <c r="AE64" s="143">
        <f t="shared" si="4"/>
        <v>126112472</v>
      </c>
      <c r="AF64" s="25">
        <f>+'St of Net Assets - GA'!W64-'St of Activities - GA Exp'!AE64</f>
        <v>0</v>
      </c>
      <c r="AG64" s="28"/>
    </row>
    <row r="65" spans="1:33" ht="12.75" customHeight="1" hidden="1">
      <c r="A65" s="23" t="s">
        <v>58</v>
      </c>
      <c r="B65" s="24"/>
      <c r="C65" s="24"/>
      <c r="D65" s="143"/>
      <c r="E65" s="24"/>
      <c r="F65" s="143"/>
      <c r="G65" s="24"/>
      <c r="H65" s="143"/>
      <c r="I65" s="24"/>
      <c r="J65" s="143"/>
      <c r="K65" s="24"/>
      <c r="L65" s="143"/>
      <c r="M65" s="24"/>
      <c r="N65" s="143"/>
      <c r="O65" s="24"/>
      <c r="P65" s="143"/>
      <c r="Q65" s="24"/>
      <c r="R65" s="143"/>
      <c r="S65" s="24"/>
      <c r="T65" s="143"/>
      <c r="U65" s="24"/>
      <c r="V65" s="143"/>
      <c r="W65" s="24"/>
      <c r="X65" s="143"/>
      <c r="Y65" s="143">
        <f t="shared" si="2"/>
        <v>0</v>
      </c>
      <c r="Z65" s="143"/>
      <c r="AA65" s="24"/>
      <c r="AB65" s="143"/>
      <c r="AC65" s="24"/>
      <c r="AD65" s="143"/>
      <c r="AE65" s="143">
        <f t="shared" si="4"/>
        <v>0</v>
      </c>
      <c r="AF65" s="25">
        <f>+'St of Net Assets - GA'!W65-'St of Activities - GA Exp'!AE65</f>
        <v>0</v>
      </c>
      <c r="AG65" s="28"/>
    </row>
    <row r="66" spans="1:33" ht="12.75" customHeight="1">
      <c r="A66" s="23" t="s">
        <v>59</v>
      </c>
      <c r="B66" s="24"/>
      <c r="C66" s="24">
        <v>45555852</v>
      </c>
      <c r="D66" s="24"/>
      <c r="E66" s="24">
        <v>160924095</v>
      </c>
      <c r="F66" s="24"/>
      <c r="G66" s="24">
        <v>0</v>
      </c>
      <c r="H66" s="24"/>
      <c r="I66" s="24">
        <v>29724929</v>
      </c>
      <c r="J66" s="24"/>
      <c r="K66" s="24">
        <v>0</v>
      </c>
      <c r="L66" s="24"/>
      <c r="M66" s="24">
        <v>250462369</v>
      </c>
      <c r="N66" s="24"/>
      <c r="O66" s="24">
        <v>17188443</v>
      </c>
      <c r="P66" s="24"/>
      <c r="Q66" s="24">
        <v>0</v>
      </c>
      <c r="R66" s="24"/>
      <c r="S66" s="24">
        <v>0</v>
      </c>
      <c r="T66" s="24"/>
      <c r="U66" s="24">
        <v>0</v>
      </c>
      <c r="V66" s="24"/>
      <c r="W66" s="24">
        <v>1367555</v>
      </c>
      <c r="X66" s="24"/>
      <c r="Y66" s="24">
        <f t="shared" si="2"/>
        <v>505223243</v>
      </c>
      <c r="Z66" s="24"/>
      <c r="AA66" s="24">
        <v>9857777</v>
      </c>
      <c r="AB66" s="24"/>
      <c r="AC66" s="24">
        <v>829485575</v>
      </c>
      <c r="AD66" s="24"/>
      <c r="AE66" s="24">
        <f t="shared" si="4"/>
        <v>839343352</v>
      </c>
      <c r="AF66" s="25">
        <f>+'St of Net Assets - GA'!W66-'St of Activities - GA Exp'!AE66</f>
        <v>0</v>
      </c>
      <c r="AG66" s="28"/>
    </row>
    <row r="67" spans="1:33" ht="12.75" customHeight="1" hidden="1">
      <c r="A67" s="23" t="s">
        <v>60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>
        <f t="shared" si="2"/>
        <v>0</v>
      </c>
      <c r="Z67" s="24"/>
      <c r="AA67" s="24"/>
      <c r="AB67" s="24"/>
      <c r="AC67" s="24"/>
      <c r="AD67" s="24"/>
      <c r="AE67" s="24">
        <f t="shared" si="4"/>
        <v>0</v>
      </c>
      <c r="AF67" s="25">
        <f>+'St of Net Assets - GA'!W67-'St of Activities - GA Exp'!AE67</f>
        <v>0</v>
      </c>
      <c r="AG67" s="28"/>
    </row>
    <row r="68" spans="1:33" ht="12.75" customHeight="1">
      <c r="A68" s="23" t="s">
        <v>97</v>
      </c>
      <c r="B68" s="24"/>
      <c r="C68" s="24">
        <v>3874449</v>
      </c>
      <c r="D68" s="24"/>
      <c r="E68" s="24">
        <v>1750324</v>
      </c>
      <c r="F68" s="24"/>
      <c r="G68" s="24">
        <v>3750592</v>
      </c>
      <c r="H68" s="24"/>
      <c r="I68" s="24">
        <v>5606653</v>
      </c>
      <c r="J68" s="24"/>
      <c r="K68" s="24">
        <v>2875112</v>
      </c>
      <c r="L68" s="24"/>
      <c r="M68" s="24">
        <v>7798267</v>
      </c>
      <c r="N68" s="24"/>
      <c r="O68" s="24">
        <v>939347</v>
      </c>
      <c r="P68" s="24"/>
      <c r="Q68" s="24">
        <v>0</v>
      </c>
      <c r="R68" s="24"/>
      <c r="S68" s="24">
        <v>2124199</v>
      </c>
      <c r="T68" s="24"/>
      <c r="U68" s="24">
        <v>339423</v>
      </c>
      <c r="V68" s="24"/>
      <c r="W68" s="24">
        <v>292977</v>
      </c>
      <c r="X68" s="24"/>
      <c r="Y68" s="24">
        <f t="shared" si="2"/>
        <v>29351343</v>
      </c>
      <c r="Z68" s="24"/>
      <c r="AA68" s="24">
        <v>-2125611</v>
      </c>
      <c r="AB68" s="24"/>
      <c r="AC68" s="24">
        <v>38362310</v>
      </c>
      <c r="AD68" s="24"/>
      <c r="AE68" s="24">
        <f t="shared" si="4"/>
        <v>36236699</v>
      </c>
      <c r="AF68" s="25">
        <f>+'St of Net Assets - GA'!W68-'St of Activities - GA Exp'!AE68</f>
        <v>0</v>
      </c>
      <c r="AG68" s="28"/>
    </row>
    <row r="69" spans="1:33" ht="12.75" customHeight="1">
      <c r="A69" s="23" t="s">
        <v>61</v>
      </c>
      <c r="B69" s="24"/>
      <c r="C69" s="24">
        <v>11299400</v>
      </c>
      <c r="D69" s="24"/>
      <c r="E69" s="24">
        <v>6579201</v>
      </c>
      <c r="F69" s="24"/>
      <c r="G69" s="24">
        <v>11485089</v>
      </c>
      <c r="H69" s="24"/>
      <c r="I69" s="24">
        <v>9245923</v>
      </c>
      <c r="J69" s="24"/>
      <c r="K69" s="24">
        <v>1493122</v>
      </c>
      <c r="L69" s="24"/>
      <c r="M69" s="24">
        <v>30669642</v>
      </c>
      <c r="N69" s="24"/>
      <c r="O69" s="24">
        <v>0</v>
      </c>
      <c r="P69" s="24"/>
      <c r="Q69" s="24">
        <v>0</v>
      </c>
      <c r="R69" s="24"/>
      <c r="S69" s="24">
        <v>0</v>
      </c>
      <c r="T69" s="24"/>
      <c r="U69" s="24">
        <f>765623+1309950</f>
        <v>2075573</v>
      </c>
      <c r="V69" s="24"/>
      <c r="W69" s="24">
        <v>549992</v>
      </c>
      <c r="X69" s="24"/>
      <c r="Y69" s="24">
        <f t="shared" si="2"/>
        <v>73397942</v>
      </c>
      <c r="Z69" s="24"/>
      <c r="AA69" s="24">
        <v>6214559</v>
      </c>
      <c r="AB69" s="24"/>
      <c r="AC69" s="24">
        <v>132408529</v>
      </c>
      <c r="AD69" s="24"/>
      <c r="AE69" s="24">
        <f t="shared" si="4"/>
        <v>138623088</v>
      </c>
      <c r="AF69" s="25">
        <f>+'St of Net Assets - GA'!W69-'St of Activities - GA Exp'!AE69</f>
        <v>0</v>
      </c>
      <c r="AG69" s="28"/>
    </row>
    <row r="70" spans="1:33" ht="12.75" customHeight="1">
      <c r="A70" s="23" t="s">
        <v>62</v>
      </c>
      <c r="B70" s="24"/>
      <c r="C70" s="24">
        <v>1893245</v>
      </c>
      <c r="D70" s="24"/>
      <c r="E70" s="24">
        <v>517454</v>
      </c>
      <c r="F70" s="24"/>
      <c r="G70" s="24">
        <v>1482335</v>
      </c>
      <c r="H70" s="24"/>
      <c r="I70" s="24">
        <v>3501949</v>
      </c>
      <c r="J70" s="24"/>
      <c r="K70" s="24">
        <v>1028516</v>
      </c>
      <c r="L70" s="24"/>
      <c r="M70" s="24">
        <v>2812038</v>
      </c>
      <c r="N70" s="24"/>
      <c r="O70" s="24">
        <f>390099+693094</f>
        <v>1083193</v>
      </c>
      <c r="P70" s="24"/>
      <c r="Q70" s="24">
        <v>0</v>
      </c>
      <c r="R70" s="24"/>
      <c r="S70" s="24">
        <v>0</v>
      </c>
      <c r="T70" s="24"/>
      <c r="U70" s="24">
        <v>0</v>
      </c>
      <c r="V70" s="24"/>
      <c r="W70" s="24">
        <v>34752</v>
      </c>
      <c r="X70" s="24"/>
      <c r="Y70" s="24">
        <f t="shared" si="2"/>
        <v>12353482</v>
      </c>
      <c r="Z70" s="24"/>
      <c r="AA70" s="24">
        <v>364732</v>
      </c>
      <c r="AB70" s="24"/>
      <c r="AC70" s="24">
        <v>31397549</v>
      </c>
      <c r="AD70" s="24"/>
      <c r="AE70" s="24">
        <f t="shared" si="4"/>
        <v>31762281</v>
      </c>
      <c r="AF70" s="25">
        <f>+'St of Net Assets - GA'!W70-'St of Activities - GA Exp'!AE70</f>
        <v>0</v>
      </c>
      <c r="AG70" s="28"/>
    </row>
    <row r="71" spans="1:33" ht="12.75" customHeight="1" hidden="1">
      <c r="A71" s="23" t="s">
        <v>63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>
        <f t="shared" si="2"/>
        <v>0</v>
      </c>
      <c r="Z71" s="24"/>
      <c r="AA71" s="24"/>
      <c r="AB71" s="24"/>
      <c r="AC71" s="24"/>
      <c r="AD71" s="24"/>
      <c r="AE71" s="24">
        <f t="shared" si="4"/>
        <v>0</v>
      </c>
      <c r="AF71" s="25">
        <f>+'St of Net Assets - GA'!W71-'St of Activities - GA Exp'!AE71</f>
        <v>0</v>
      </c>
      <c r="AG71" s="28"/>
    </row>
    <row r="72" spans="1:33" ht="12.75" customHeight="1" hidden="1">
      <c r="A72" s="23" t="s">
        <v>131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>
        <f t="shared" si="2"/>
        <v>0</v>
      </c>
      <c r="Z72" s="24"/>
      <c r="AA72" s="24"/>
      <c r="AB72" s="24"/>
      <c r="AC72" s="24"/>
      <c r="AD72" s="24"/>
      <c r="AE72" s="24">
        <f t="shared" si="4"/>
        <v>0</v>
      </c>
      <c r="AF72" s="25">
        <f>+'St of Net Assets - GA'!W72-'St of Activities - GA Exp'!AE72</f>
        <v>0</v>
      </c>
      <c r="AG72" s="28"/>
    </row>
    <row r="73" spans="1:33" ht="12.75" customHeight="1" hidden="1">
      <c r="A73" s="23" t="s">
        <v>64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>
        <f t="shared" si="2"/>
        <v>0</v>
      </c>
      <c r="Z73" s="24"/>
      <c r="AA73" s="24"/>
      <c r="AB73" s="24"/>
      <c r="AC73" s="24"/>
      <c r="AD73" s="24"/>
      <c r="AE73" s="24">
        <f t="shared" si="4"/>
        <v>0</v>
      </c>
      <c r="AF73" s="25">
        <f>+'St of Net Assets - GA'!W73-'St of Activities - GA Exp'!AE73</f>
        <v>0</v>
      </c>
      <c r="AG73" s="28"/>
    </row>
    <row r="74" spans="1:33" ht="12.75" customHeight="1">
      <c r="A74" s="23" t="s">
        <v>65</v>
      </c>
      <c r="B74" s="24"/>
      <c r="C74" s="24">
        <v>5477580</v>
      </c>
      <c r="D74" s="24"/>
      <c r="E74" s="24">
        <v>2229389</v>
      </c>
      <c r="F74" s="24"/>
      <c r="G74" s="24">
        <v>7089199</v>
      </c>
      <c r="H74" s="24"/>
      <c r="I74" s="24">
        <v>4905605</v>
      </c>
      <c r="J74" s="24"/>
      <c r="K74" s="24">
        <v>3868359</v>
      </c>
      <c r="L74" s="24"/>
      <c r="M74" s="24">
        <v>6832240</v>
      </c>
      <c r="N74" s="24"/>
      <c r="O74" s="24">
        <v>425254</v>
      </c>
      <c r="P74" s="24"/>
      <c r="Q74" s="24">
        <v>343163</v>
      </c>
      <c r="R74" s="24"/>
      <c r="S74" s="24">
        <v>14250</v>
      </c>
      <c r="T74" s="24"/>
      <c r="U74" s="24">
        <v>0</v>
      </c>
      <c r="V74" s="24"/>
      <c r="W74" s="24">
        <v>162966</v>
      </c>
      <c r="X74" s="24"/>
      <c r="Y74" s="24">
        <f t="shared" si="2"/>
        <v>31348005</v>
      </c>
      <c r="Z74" s="24"/>
      <c r="AA74" s="24">
        <v>3051089</v>
      </c>
      <c r="AB74" s="24"/>
      <c r="AC74" s="24">
        <v>61666583</v>
      </c>
      <c r="AD74" s="24"/>
      <c r="AE74" s="24">
        <f t="shared" si="4"/>
        <v>64717672</v>
      </c>
      <c r="AF74" s="25">
        <f>+'St of Net Assets - GA'!W74-'St of Activities - GA Exp'!AE74</f>
        <v>-37800000</v>
      </c>
      <c r="AG74" s="28"/>
    </row>
    <row r="75" spans="1:33" ht="12.75" customHeight="1">
      <c r="A75" s="23" t="s">
        <v>66</v>
      </c>
      <c r="B75" s="24"/>
      <c r="C75" s="24">
        <v>3983608</v>
      </c>
      <c r="D75" s="24"/>
      <c r="E75" s="24">
        <v>1249126</v>
      </c>
      <c r="F75" s="24"/>
      <c r="G75" s="24">
        <v>2940383</v>
      </c>
      <c r="H75" s="24"/>
      <c r="I75" s="24">
        <v>5735405</v>
      </c>
      <c r="J75" s="24"/>
      <c r="K75" s="24">
        <v>3740545</v>
      </c>
      <c r="L75" s="24"/>
      <c r="M75" s="24">
        <v>5404580</v>
      </c>
      <c r="N75" s="24"/>
      <c r="O75" s="24">
        <v>406270</v>
      </c>
      <c r="P75" s="24"/>
      <c r="Q75" s="24">
        <v>301670</v>
      </c>
      <c r="R75" s="24"/>
      <c r="S75" s="24">
        <v>0</v>
      </c>
      <c r="T75" s="24"/>
      <c r="U75" s="24">
        <v>0</v>
      </c>
      <c r="V75" s="24"/>
      <c r="W75" s="24">
        <v>238433</v>
      </c>
      <c r="X75" s="24"/>
      <c r="Y75" s="24">
        <f t="shared" si="2"/>
        <v>24000020</v>
      </c>
      <c r="Z75" s="24"/>
      <c r="AA75" s="24">
        <v>4681524</v>
      </c>
      <c r="AB75" s="24"/>
      <c r="AC75" s="24">
        <v>51539127</v>
      </c>
      <c r="AD75" s="24"/>
      <c r="AE75" s="24">
        <f t="shared" si="4"/>
        <v>56220651</v>
      </c>
      <c r="AF75" s="25">
        <f>+'St of Net Assets - GA'!W75-'St of Activities - GA Exp'!AE75</f>
        <v>0</v>
      </c>
      <c r="AG75" s="28"/>
    </row>
    <row r="76" spans="1:33" ht="12.75" customHeight="1">
      <c r="A76" s="23" t="s">
        <v>67</v>
      </c>
      <c r="B76" s="24"/>
      <c r="C76" s="24">
        <v>16368920</v>
      </c>
      <c r="D76" s="24"/>
      <c r="E76" s="24">
        <v>10047637</v>
      </c>
      <c r="F76" s="24"/>
      <c r="G76" s="24">
        <v>16766816</v>
      </c>
      <c r="H76" s="24"/>
      <c r="I76" s="24">
        <v>9673124</v>
      </c>
      <c r="J76" s="24"/>
      <c r="K76" s="24">
        <v>32287200</v>
      </c>
      <c r="L76" s="24"/>
      <c r="M76" s="24">
        <v>20294057</v>
      </c>
      <c r="N76" s="24"/>
      <c r="O76" s="24">
        <v>0</v>
      </c>
      <c r="P76" s="24"/>
      <c r="Q76" s="24">
        <v>0</v>
      </c>
      <c r="R76" s="24"/>
      <c r="S76" s="24">
        <v>0</v>
      </c>
      <c r="T76" s="24"/>
      <c r="U76" s="24">
        <v>0</v>
      </c>
      <c r="V76" s="24"/>
      <c r="W76" s="24">
        <v>1017474</v>
      </c>
      <c r="X76" s="24"/>
      <c r="Y76" s="24">
        <f t="shared" si="2"/>
        <v>106455228</v>
      </c>
      <c r="Z76" s="24"/>
      <c r="AA76" s="24">
        <v>5179044</v>
      </c>
      <c r="AB76" s="24"/>
      <c r="AC76" s="24">
        <v>154528780</v>
      </c>
      <c r="AD76" s="24"/>
      <c r="AE76" s="24">
        <f t="shared" si="4"/>
        <v>159707824</v>
      </c>
      <c r="AF76" s="25">
        <f>+'St of Net Assets - GA'!W76-'St of Activities - GA Exp'!AE76</f>
        <v>0</v>
      </c>
      <c r="AG76" s="28"/>
    </row>
    <row r="77" spans="1:33" ht="12.75" customHeight="1">
      <c r="A77" s="23" t="s">
        <v>68</v>
      </c>
      <c r="B77" s="24"/>
      <c r="C77" s="24">
        <v>3522409</v>
      </c>
      <c r="D77" s="24"/>
      <c r="E77" s="24">
        <v>1918401</v>
      </c>
      <c r="F77" s="24"/>
      <c r="G77" s="24">
        <v>4382435</v>
      </c>
      <c r="H77" s="24"/>
      <c r="I77" s="24">
        <v>4619085</v>
      </c>
      <c r="J77" s="24"/>
      <c r="K77" s="24">
        <v>2486788</v>
      </c>
      <c r="L77" s="24"/>
      <c r="M77" s="24">
        <v>9167399</v>
      </c>
      <c r="N77" s="24"/>
      <c r="O77" s="24">
        <v>451790</v>
      </c>
      <c r="P77" s="24"/>
      <c r="Q77" s="24">
        <v>0</v>
      </c>
      <c r="R77" s="24"/>
      <c r="S77" s="24">
        <v>0</v>
      </c>
      <c r="T77" s="24"/>
      <c r="U77" s="24">
        <v>37265</v>
      </c>
      <c r="V77" s="24"/>
      <c r="W77" s="24">
        <v>32660</v>
      </c>
      <c r="X77" s="24"/>
      <c r="Y77" s="24">
        <f t="shared" si="2"/>
        <v>26618232</v>
      </c>
      <c r="Z77" s="24"/>
      <c r="AA77" s="24">
        <v>2421091</v>
      </c>
      <c r="AB77" s="24"/>
      <c r="AC77" s="24">
        <v>40858905</v>
      </c>
      <c r="AD77" s="24"/>
      <c r="AE77" s="24">
        <f t="shared" si="4"/>
        <v>43279996</v>
      </c>
      <c r="AF77" s="25">
        <f>+'St of Net Assets - GA'!W77-'St of Activities - GA Exp'!AE77</f>
        <v>0</v>
      </c>
      <c r="AG77" s="28"/>
    </row>
    <row r="78" spans="1:33" ht="12.75" customHeight="1" hidden="1">
      <c r="A78" s="23" t="s">
        <v>175</v>
      </c>
      <c r="B78" s="24"/>
      <c r="C78" s="24">
        <v>0</v>
      </c>
      <c r="D78" s="24"/>
      <c r="E78" s="24">
        <v>0</v>
      </c>
      <c r="F78" s="24"/>
      <c r="G78" s="24">
        <v>0</v>
      </c>
      <c r="H78" s="24"/>
      <c r="I78" s="24">
        <v>0</v>
      </c>
      <c r="J78" s="24"/>
      <c r="K78" s="24">
        <v>0</v>
      </c>
      <c r="L78" s="24"/>
      <c r="M78" s="24">
        <v>0</v>
      </c>
      <c r="N78" s="24"/>
      <c r="O78" s="24">
        <v>0</v>
      </c>
      <c r="P78" s="24"/>
      <c r="Q78" s="24">
        <v>0</v>
      </c>
      <c r="R78" s="24"/>
      <c r="S78" s="24">
        <v>0</v>
      </c>
      <c r="T78" s="24"/>
      <c r="U78" s="24">
        <v>0</v>
      </c>
      <c r="V78" s="24"/>
      <c r="W78" s="24">
        <v>0</v>
      </c>
      <c r="X78" s="24"/>
      <c r="Y78" s="24">
        <f t="shared" si="2"/>
        <v>0</v>
      </c>
      <c r="Z78" s="24"/>
      <c r="AA78" s="24">
        <v>0</v>
      </c>
      <c r="AB78" s="24"/>
      <c r="AC78" s="24">
        <v>0</v>
      </c>
      <c r="AD78" s="24"/>
      <c r="AE78" s="24">
        <f t="shared" si="4"/>
        <v>0</v>
      </c>
      <c r="AF78" s="25">
        <f>+'St of Net Assets - GA'!W78-'St of Activities - GA Exp'!AE78</f>
        <v>0</v>
      </c>
      <c r="AG78" s="28"/>
    </row>
    <row r="79" spans="3:33" ht="12.75" customHeight="1">
      <c r="C79" s="24"/>
      <c r="E79" s="24"/>
      <c r="G79" s="24"/>
      <c r="I79" s="24"/>
      <c r="K79" s="24"/>
      <c r="M79" s="24"/>
      <c r="O79" s="24"/>
      <c r="Q79" s="24"/>
      <c r="S79" s="24"/>
      <c r="U79" s="24"/>
      <c r="W79" s="24"/>
      <c r="AA79" s="24"/>
      <c r="AC79" s="24"/>
      <c r="AG79" s="28"/>
    </row>
    <row r="80" spans="3:33" ht="12.75" customHeight="1">
      <c r="C80" s="24"/>
      <c r="E80" s="24"/>
      <c r="G80" s="24"/>
      <c r="I80" s="24"/>
      <c r="K80" s="24"/>
      <c r="M80" s="24"/>
      <c r="O80" s="24"/>
      <c r="Q80" s="24"/>
      <c r="S80" s="24"/>
      <c r="U80" s="24"/>
      <c r="W80" s="24"/>
      <c r="Y80" s="126" t="s">
        <v>247</v>
      </c>
      <c r="AA80" s="24"/>
      <c r="AC80" s="24"/>
      <c r="AG80" s="28"/>
    </row>
    <row r="81" spans="1:33" ht="12.75" customHeight="1">
      <c r="A81" s="23" t="s">
        <v>177</v>
      </c>
      <c r="B81" s="24"/>
      <c r="C81" s="177">
        <f>9244988+326469</f>
        <v>9571457</v>
      </c>
      <c r="D81" s="177"/>
      <c r="E81" s="177">
        <v>9712273</v>
      </c>
      <c r="F81" s="177"/>
      <c r="G81" s="177">
        <v>14287016</v>
      </c>
      <c r="H81" s="177"/>
      <c r="I81" s="177">
        <v>9414395</v>
      </c>
      <c r="J81" s="177"/>
      <c r="K81" s="177">
        <f>35439463+215559</f>
        <v>35655022</v>
      </c>
      <c r="L81" s="177"/>
      <c r="M81" s="177">
        <f>20930865+617622</f>
        <v>21548487</v>
      </c>
      <c r="N81" s="177"/>
      <c r="O81" s="177">
        <v>427674</v>
      </c>
      <c r="P81" s="177"/>
      <c r="Q81" s="177">
        <v>193016</v>
      </c>
      <c r="R81" s="177"/>
      <c r="S81" s="177">
        <v>0</v>
      </c>
      <c r="T81" s="177"/>
      <c r="U81" s="177">
        <v>0</v>
      </c>
      <c r="V81" s="177"/>
      <c r="W81" s="177">
        <v>1926222</v>
      </c>
      <c r="X81" s="44"/>
      <c r="Y81" s="44">
        <f aca="true" t="shared" si="5" ref="Y81:Y87">SUM(C81:W81)</f>
        <v>102735562</v>
      </c>
      <c r="Z81" s="44"/>
      <c r="AA81" s="24">
        <v>840499</v>
      </c>
      <c r="AB81" s="44"/>
      <c r="AC81" s="24">
        <v>135814961</v>
      </c>
      <c r="AD81" s="44"/>
      <c r="AE81" s="44">
        <f aca="true" t="shared" si="6" ref="AE81:AE88">+AC81+AA81</f>
        <v>136655460</v>
      </c>
      <c r="AF81" s="25">
        <f>+'St of Net Assets - GA'!W81-'St of Activities - GA Exp'!AE81</f>
        <v>0</v>
      </c>
      <c r="AG81" s="28"/>
    </row>
    <row r="82" spans="1:33" ht="12.75" customHeight="1">
      <c r="A82" s="23" t="s">
        <v>69</v>
      </c>
      <c r="B82" s="24"/>
      <c r="C82" s="24">
        <v>6611573</v>
      </c>
      <c r="D82" s="24"/>
      <c r="E82" s="24">
        <v>3925370</v>
      </c>
      <c r="F82" s="24"/>
      <c r="G82" s="24">
        <v>10328105</v>
      </c>
      <c r="H82" s="24"/>
      <c r="I82" s="24">
        <v>8647091</v>
      </c>
      <c r="J82" s="24"/>
      <c r="K82" s="24">
        <v>697433</v>
      </c>
      <c r="L82" s="24"/>
      <c r="M82" s="24">
        <v>21379105</v>
      </c>
      <c r="N82" s="24"/>
      <c r="O82" s="24">
        <v>1182144</v>
      </c>
      <c r="P82" s="24"/>
      <c r="Q82" s="24">
        <v>0</v>
      </c>
      <c r="R82" s="24"/>
      <c r="S82" s="24">
        <v>0</v>
      </c>
      <c r="T82" s="24"/>
      <c r="U82" s="24">
        <v>0</v>
      </c>
      <c r="V82" s="24"/>
      <c r="W82" s="24">
        <v>485486</v>
      </c>
      <c r="X82" s="24"/>
      <c r="Y82" s="24">
        <f t="shared" si="5"/>
        <v>53256307</v>
      </c>
      <c r="Z82" s="24"/>
      <c r="AA82" s="24">
        <v>2065651</v>
      </c>
      <c r="AB82" s="24"/>
      <c r="AC82" s="24">
        <v>45959483</v>
      </c>
      <c r="AD82" s="24"/>
      <c r="AE82" s="24">
        <f t="shared" si="6"/>
        <v>48025134</v>
      </c>
      <c r="AF82" s="25">
        <f>+'St of Net Assets - GA'!W82-'St of Activities - GA Exp'!AE82</f>
        <v>0</v>
      </c>
      <c r="AG82" s="28"/>
    </row>
    <row r="83" spans="1:33" ht="12.75" customHeight="1">
      <c r="A83" s="23" t="s">
        <v>98</v>
      </c>
      <c r="B83" s="24"/>
      <c r="C83" s="24">
        <v>8573393</v>
      </c>
      <c r="D83" s="24"/>
      <c r="E83" s="24">
        <v>3307209</v>
      </c>
      <c r="F83" s="24"/>
      <c r="G83" s="24">
        <v>10812295</v>
      </c>
      <c r="H83" s="24"/>
      <c r="I83" s="24">
        <v>5981828</v>
      </c>
      <c r="J83" s="24"/>
      <c r="K83" s="24">
        <v>403345</v>
      </c>
      <c r="L83" s="24"/>
      <c r="M83" s="24">
        <v>20222453</v>
      </c>
      <c r="N83" s="24"/>
      <c r="O83" s="24">
        <v>583536</v>
      </c>
      <c r="P83" s="24"/>
      <c r="Q83" s="24">
        <v>0</v>
      </c>
      <c r="R83" s="24"/>
      <c r="S83" s="24">
        <v>0</v>
      </c>
      <c r="T83" s="24"/>
      <c r="U83" s="24">
        <v>172234</v>
      </c>
      <c r="V83" s="24"/>
      <c r="W83" s="24">
        <v>184090</v>
      </c>
      <c r="X83" s="24"/>
      <c r="Y83" s="24">
        <f t="shared" si="5"/>
        <v>50240383</v>
      </c>
      <c r="Z83" s="24"/>
      <c r="AA83" s="24">
        <v>1733691</v>
      </c>
      <c r="AB83" s="24"/>
      <c r="AC83" s="24">
        <v>71888474</v>
      </c>
      <c r="AD83" s="24"/>
      <c r="AE83" s="24">
        <f t="shared" si="6"/>
        <v>73622165</v>
      </c>
      <c r="AF83" s="25">
        <f>+'St of Net Assets - GA'!W83-'St of Activities - GA Exp'!AE83</f>
        <v>0</v>
      </c>
      <c r="AG83" s="28"/>
    </row>
    <row r="84" spans="1:33" ht="12.75" customHeight="1">
      <c r="A84" s="23" t="s">
        <v>70</v>
      </c>
      <c r="B84" s="24"/>
      <c r="C84" s="24">
        <v>7749738</v>
      </c>
      <c r="D84" s="24"/>
      <c r="E84" s="24">
        <v>2514758</v>
      </c>
      <c r="F84" s="24"/>
      <c r="G84" s="24">
        <f>5356439+2013306</f>
        <v>7369745</v>
      </c>
      <c r="H84" s="24"/>
      <c r="I84" s="24">
        <v>5704498</v>
      </c>
      <c r="J84" s="24"/>
      <c r="K84" s="24">
        <v>10362796</v>
      </c>
      <c r="L84" s="24"/>
      <c r="M84" s="24">
        <v>11528960</v>
      </c>
      <c r="N84" s="24"/>
      <c r="O84" s="24">
        <v>1465690</v>
      </c>
      <c r="P84" s="24"/>
      <c r="Q84" s="24">
        <v>421404</v>
      </c>
      <c r="R84" s="24"/>
      <c r="S84" s="24">
        <v>812041</v>
      </c>
      <c r="T84" s="24"/>
      <c r="U84" s="24">
        <v>0</v>
      </c>
      <c r="V84" s="24"/>
      <c r="W84" s="143">
        <v>697128</v>
      </c>
      <c r="X84" s="24"/>
      <c r="Y84" s="24">
        <f t="shared" si="5"/>
        <v>48626758</v>
      </c>
      <c r="Z84" s="24"/>
      <c r="AA84" s="24">
        <v>3518311</v>
      </c>
      <c r="AB84" s="24"/>
      <c r="AC84" s="24">
        <v>91801700</v>
      </c>
      <c r="AD84" s="24"/>
      <c r="AE84" s="24">
        <f t="shared" si="6"/>
        <v>95320011</v>
      </c>
      <c r="AF84" s="25">
        <f>+'St of Net Assets - GA'!W84-'St of Activities - GA Exp'!AE84</f>
        <v>0</v>
      </c>
      <c r="AG84" s="28"/>
    </row>
    <row r="85" spans="1:33" ht="12.75" customHeight="1">
      <c r="A85" s="23" t="s">
        <v>71</v>
      </c>
      <c r="B85" s="24"/>
      <c r="C85" s="24">
        <v>6467712</v>
      </c>
      <c r="D85" s="24"/>
      <c r="E85" s="24">
        <v>2614593</v>
      </c>
      <c r="F85" s="24"/>
      <c r="G85" s="24">
        <v>6737359</v>
      </c>
      <c r="H85" s="24"/>
      <c r="I85" s="24">
        <v>5257965</v>
      </c>
      <c r="J85" s="24"/>
      <c r="K85" s="24">
        <v>9457676</v>
      </c>
      <c r="L85" s="24"/>
      <c r="M85" s="24">
        <v>7157567</v>
      </c>
      <c r="N85" s="24"/>
      <c r="O85" s="24">
        <v>5396</v>
      </c>
      <c r="P85" s="24"/>
      <c r="Q85" s="24">
        <v>213954</v>
      </c>
      <c r="R85" s="24"/>
      <c r="S85" s="24">
        <v>0</v>
      </c>
      <c r="T85" s="24"/>
      <c r="U85" s="24">
        <v>0</v>
      </c>
      <c r="V85" s="24"/>
      <c r="W85" s="24">
        <v>149962</v>
      </c>
      <c r="X85" s="24"/>
      <c r="Y85" s="24">
        <f t="shared" si="5"/>
        <v>38062184</v>
      </c>
      <c r="Z85" s="24"/>
      <c r="AA85" s="24">
        <v>4092945</v>
      </c>
      <c r="AB85" s="24"/>
      <c r="AC85" s="24">
        <v>91776108</v>
      </c>
      <c r="AD85" s="24"/>
      <c r="AE85" s="24">
        <f t="shared" si="6"/>
        <v>95869053</v>
      </c>
      <c r="AF85" s="25">
        <f>+'St of Net Assets - GA'!W85-'St of Activities - GA Exp'!AE85</f>
        <v>0</v>
      </c>
      <c r="AG85" s="28"/>
    </row>
    <row r="86" spans="1:33" ht="12.75" customHeight="1">
      <c r="A86" s="23" t="s">
        <v>72</v>
      </c>
      <c r="B86" s="24"/>
      <c r="C86" s="24">
        <v>4634948</v>
      </c>
      <c r="D86" s="24"/>
      <c r="E86" s="24">
        <v>2513508</v>
      </c>
      <c r="F86" s="24"/>
      <c r="G86" s="24">
        <v>5000493</v>
      </c>
      <c r="H86" s="24"/>
      <c r="I86" s="24">
        <v>11583223</v>
      </c>
      <c r="J86" s="24"/>
      <c r="K86" s="24">
        <v>218795</v>
      </c>
      <c r="L86" s="24"/>
      <c r="M86" s="24">
        <v>14181595</v>
      </c>
      <c r="N86" s="24"/>
      <c r="O86" s="24">
        <v>442470</v>
      </c>
      <c r="P86" s="24"/>
      <c r="Q86" s="24">
        <v>0</v>
      </c>
      <c r="R86" s="24"/>
      <c r="S86" s="24">
        <v>0</v>
      </c>
      <c r="T86" s="24"/>
      <c r="U86" s="24">
        <v>238219</v>
      </c>
      <c r="V86" s="24"/>
      <c r="W86" s="24">
        <v>27892</v>
      </c>
      <c r="X86" s="24"/>
      <c r="Y86" s="24">
        <f t="shared" si="5"/>
        <v>38841143</v>
      </c>
      <c r="Z86" s="24"/>
      <c r="AA86" s="24">
        <v>-3548801</v>
      </c>
      <c r="AB86" s="24"/>
      <c r="AC86" s="24">
        <v>108670005</v>
      </c>
      <c r="AD86" s="24"/>
      <c r="AE86" s="24">
        <f t="shared" si="6"/>
        <v>105121204</v>
      </c>
      <c r="AF86" s="25">
        <f>+'St of Net Assets - GA'!W86-'St of Activities - GA Exp'!AE86</f>
        <v>0</v>
      </c>
      <c r="AG86" s="28"/>
    </row>
    <row r="87" spans="1:33" ht="12.75" customHeight="1">
      <c r="A87" s="23" t="s">
        <v>73</v>
      </c>
      <c r="B87" s="24"/>
      <c r="C87" s="24">
        <v>25502295</v>
      </c>
      <c r="D87" s="24"/>
      <c r="E87" s="24">
        <v>15400907</v>
      </c>
      <c r="F87" s="24"/>
      <c r="G87" s="24">
        <v>24784577</v>
      </c>
      <c r="H87" s="24"/>
      <c r="I87" s="24">
        <v>23047381</v>
      </c>
      <c r="J87" s="24"/>
      <c r="K87" s="24">
        <v>85133253</v>
      </c>
      <c r="L87" s="24"/>
      <c r="M87" s="24">
        <v>50187453</v>
      </c>
      <c r="N87" s="24"/>
      <c r="O87" s="24">
        <v>0</v>
      </c>
      <c r="P87" s="24"/>
      <c r="Q87" s="24">
        <v>0</v>
      </c>
      <c r="R87" s="24"/>
      <c r="S87" s="24">
        <v>61740</v>
      </c>
      <c r="T87" s="24"/>
      <c r="U87" s="24">
        <v>80938</v>
      </c>
      <c r="V87" s="24"/>
      <c r="W87" s="24">
        <v>314500</v>
      </c>
      <c r="X87" s="24"/>
      <c r="Y87" s="24">
        <f t="shared" si="5"/>
        <v>224513044</v>
      </c>
      <c r="Z87" s="24"/>
      <c r="AA87" s="24">
        <v>3613059</v>
      </c>
      <c r="AB87" s="24"/>
      <c r="AC87" s="24">
        <v>309731408</v>
      </c>
      <c r="AD87" s="24"/>
      <c r="AE87" s="24">
        <f t="shared" si="6"/>
        <v>313344467</v>
      </c>
      <c r="AF87" s="25">
        <f>+'St of Net Assets - GA'!W87-'St of Activities - GA Exp'!AE87</f>
        <v>0</v>
      </c>
      <c r="AG87" s="28"/>
    </row>
    <row r="88" spans="1:34" ht="12.75" customHeight="1">
      <c r="A88" s="23" t="s">
        <v>74</v>
      </c>
      <c r="B88" s="24"/>
      <c r="C88" s="24">
        <v>29669990</v>
      </c>
      <c r="D88" s="24"/>
      <c r="E88" s="24">
        <v>28947404</v>
      </c>
      <c r="F88" s="24"/>
      <c r="G88" s="24">
        <v>77143081</v>
      </c>
      <c r="H88" s="24"/>
      <c r="I88" s="24">
        <v>16226883</v>
      </c>
      <c r="J88" s="24"/>
      <c r="K88" s="24">
        <v>144036945</v>
      </c>
      <c r="L88" s="24"/>
      <c r="M88" s="24">
        <v>45524056</v>
      </c>
      <c r="N88" s="24"/>
      <c r="O88" s="24">
        <v>6887944</v>
      </c>
      <c r="P88" s="24"/>
      <c r="Q88" s="24">
        <v>8470466</v>
      </c>
      <c r="R88" s="24"/>
      <c r="S88" s="24">
        <v>2870496</v>
      </c>
      <c r="T88" s="24"/>
      <c r="U88" s="24">
        <v>0</v>
      </c>
      <c r="V88" s="24"/>
      <c r="W88" s="24">
        <v>3781157</v>
      </c>
      <c r="X88" s="24"/>
      <c r="Y88" s="24">
        <f t="shared" si="2"/>
        <v>363558422</v>
      </c>
      <c r="Z88" s="24"/>
      <c r="AA88" s="24">
        <v>105103851</v>
      </c>
      <c r="AB88" s="24"/>
      <c r="AC88" s="24">
        <v>439712016</v>
      </c>
      <c r="AD88" s="24"/>
      <c r="AE88" s="24">
        <f t="shared" si="6"/>
        <v>544815867</v>
      </c>
      <c r="AF88" s="25">
        <f>+'St of Net Assets - GA'!W88-'St of Activities - GA Exp'!AE88</f>
        <v>-386752941</v>
      </c>
      <c r="AG88" s="25"/>
      <c r="AH88" s="39"/>
    </row>
    <row r="89" spans="1:33" ht="12.75" customHeight="1" hidden="1">
      <c r="A89" s="23" t="s">
        <v>75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>
        <f t="shared" si="2"/>
        <v>0</v>
      </c>
      <c r="Z89" s="24"/>
      <c r="AA89" s="24">
        <v>-3988033</v>
      </c>
      <c r="AB89" s="24"/>
      <c r="AC89" s="24">
        <v>184677469</v>
      </c>
      <c r="AD89" s="24"/>
      <c r="AE89" s="24">
        <f t="shared" si="4"/>
        <v>180689436</v>
      </c>
      <c r="AF89" s="25">
        <f>+'St of Net Assets - GA'!W89-'St of Activities - GA Exp'!AE89</f>
        <v>0</v>
      </c>
      <c r="AG89" s="28"/>
    </row>
    <row r="90" spans="1:33" ht="12.75" customHeight="1">
      <c r="A90" s="23" t="s">
        <v>76</v>
      </c>
      <c r="B90" s="24"/>
      <c r="C90" s="24">
        <f>7657907+1559752</f>
        <v>9217659</v>
      </c>
      <c r="D90" s="24"/>
      <c r="E90" s="24">
        <v>4411284</v>
      </c>
      <c r="F90" s="24"/>
      <c r="G90" s="24">
        <v>7675608</v>
      </c>
      <c r="H90" s="24"/>
      <c r="I90" s="24">
        <v>10824443</v>
      </c>
      <c r="J90" s="24"/>
      <c r="K90" s="24">
        <v>9144890</v>
      </c>
      <c r="L90" s="24"/>
      <c r="M90" s="24">
        <v>13950723</v>
      </c>
      <c r="N90" s="24"/>
      <c r="O90" s="24">
        <v>0</v>
      </c>
      <c r="P90" s="24"/>
      <c r="Q90" s="24">
        <v>362076</v>
      </c>
      <c r="R90" s="24"/>
      <c r="S90" s="24">
        <v>0</v>
      </c>
      <c r="T90" s="24"/>
      <c r="U90" s="24">
        <f>498459+25167+1102513+359221+2888</f>
        <v>1988248</v>
      </c>
      <c r="V90" s="24"/>
      <c r="W90" s="24">
        <v>116831</v>
      </c>
      <c r="X90" s="24"/>
      <c r="Y90" s="24">
        <f t="shared" si="2"/>
        <v>57691762</v>
      </c>
      <c r="Z90" s="24"/>
      <c r="AA90" s="24">
        <v>-6002947</v>
      </c>
      <c r="AB90" s="24"/>
      <c r="AC90" s="24">
        <v>127009606</v>
      </c>
      <c r="AD90" s="24"/>
      <c r="AE90" s="24">
        <f t="shared" si="4"/>
        <v>121006659</v>
      </c>
      <c r="AF90" s="25">
        <f>+'St of Net Assets - GA'!W90-'St of Activities - GA Exp'!AE90</f>
        <v>0</v>
      </c>
      <c r="AG90" s="28"/>
    </row>
    <row r="91" spans="1:33" ht="12.75" customHeight="1">
      <c r="A91" s="23" t="s">
        <v>77</v>
      </c>
      <c r="B91" s="24"/>
      <c r="C91" s="24">
        <v>11422420</v>
      </c>
      <c r="D91" s="24"/>
      <c r="E91" s="24">
        <v>2777476</v>
      </c>
      <c r="F91" s="24"/>
      <c r="G91" s="24">
        <v>6925246</v>
      </c>
      <c r="H91" s="24"/>
      <c r="I91" s="24">
        <v>5853894</v>
      </c>
      <c r="J91" s="24"/>
      <c r="K91" s="24">
        <v>3306813</v>
      </c>
      <c r="L91" s="24"/>
      <c r="M91" s="24">
        <v>15644260</v>
      </c>
      <c r="N91" s="24"/>
      <c r="O91" s="24">
        <v>369278</v>
      </c>
      <c r="P91" s="24"/>
      <c r="Q91" s="24">
        <v>0</v>
      </c>
      <c r="R91" s="24"/>
      <c r="S91" s="24">
        <v>0</v>
      </c>
      <c r="T91" s="24"/>
      <c r="U91" s="24">
        <v>1052051</v>
      </c>
      <c r="V91" s="24"/>
      <c r="W91" s="24">
        <v>334789</v>
      </c>
      <c r="X91" s="24"/>
      <c r="Y91" s="24">
        <f t="shared" si="2"/>
        <v>47686227</v>
      </c>
      <c r="Z91" s="24"/>
      <c r="AA91" s="24">
        <v>5147465</v>
      </c>
      <c r="AB91" s="24"/>
      <c r="AC91" s="24">
        <v>98873740</v>
      </c>
      <c r="AD91" s="24"/>
      <c r="AE91" s="24">
        <f t="shared" si="4"/>
        <v>104021205</v>
      </c>
      <c r="AF91" s="25">
        <f>+'St of Net Assets - GA'!W91-'St of Activities - GA Exp'!AE91</f>
        <v>0</v>
      </c>
      <c r="AG91" s="28"/>
    </row>
    <row r="92" spans="1:33" ht="12.75" customHeight="1">
      <c r="A92" s="23" t="s">
        <v>78</v>
      </c>
      <c r="B92" s="24"/>
      <c r="C92" s="24">
        <v>4804675</v>
      </c>
      <c r="D92" s="24"/>
      <c r="E92" s="24">
        <v>1336297</v>
      </c>
      <c r="F92" s="24"/>
      <c r="G92" s="24">
        <v>3060993</v>
      </c>
      <c r="H92" s="24"/>
      <c r="I92" s="24">
        <v>4502116</v>
      </c>
      <c r="J92" s="24"/>
      <c r="K92" s="24">
        <v>117410</v>
      </c>
      <c r="L92" s="24"/>
      <c r="M92" s="24">
        <v>7083004</v>
      </c>
      <c r="N92" s="24"/>
      <c r="O92" s="24">
        <v>1342120</v>
      </c>
      <c r="P92" s="24"/>
      <c r="Q92" s="24">
        <v>4711</v>
      </c>
      <c r="R92" s="24"/>
      <c r="S92" s="24">
        <v>0</v>
      </c>
      <c r="T92" s="24"/>
      <c r="U92" s="24">
        <v>80347</v>
      </c>
      <c r="V92" s="24"/>
      <c r="W92" s="24">
        <v>247863</v>
      </c>
      <c r="X92" s="24"/>
      <c r="Y92" s="24">
        <f t="shared" si="2"/>
        <v>22579536</v>
      </c>
      <c r="Z92" s="24"/>
      <c r="AA92" s="24">
        <v>-668028</v>
      </c>
      <c r="AB92" s="24"/>
      <c r="AC92" s="24">
        <v>31326955</v>
      </c>
      <c r="AD92" s="24"/>
      <c r="AE92" s="24">
        <f t="shared" si="4"/>
        <v>30658927</v>
      </c>
      <c r="AF92" s="25">
        <f>+'St of Net Assets - GA'!W92-'St of Activities - GA Exp'!AE92</f>
        <v>0</v>
      </c>
      <c r="AG92" s="28"/>
    </row>
    <row r="93" spans="1:33" ht="12.75" customHeight="1" hidden="1">
      <c r="A93" s="23" t="s">
        <v>79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>
        <f t="shared" si="2"/>
        <v>0</v>
      </c>
      <c r="Z93" s="24"/>
      <c r="AA93" s="24"/>
      <c r="AB93" s="24"/>
      <c r="AC93" s="24"/>
      <c r="AD93" s="24"/>
      <c r="AE93" s="24">
        <f t="shared" si="4"/>
        <v>0</v>
      </c>
      <c r="AF93" s="25">
        <f>+'St of Net Assets - GA'!W93-'St of Activities - GA Exp'!AE93</f>
        <v>0</v>
      </c>
      <c r="AG93" s="28"/>
    </row>
    <row r="94" spans="1:33" ht="12.75" customHeight="1">
      <c r="A94" s="23" t="s">
        <v>80</v>
      </c>
      <c r="B94" s="24"/>
      <c r="C94" s="24">
        <v>22950881</v>
      </c>
      <c r="D94" s="24"/>
      <c r="E94" s="24">
        <v>9968293</v>
      </c>
      <c r="F94" s="24"/>
      <c r="G94" s="24">
        <v>32918838</v>
      </c>
      <c r="H94" s="24"/>
      <c r="I94" s="24">
        <v>10877264</v>
      </c>
      <c r="J94" s="24"/>
      <c r="K94" s="24">
        <v>739922</v>
      </c>
      <c r="L94" s="24"/>
      <c r="M94" s="24">
        <v>43470337</v>
      </c>
      <c r="N94" s="24"/>
      <c r="O94" s="24">
        <v>1277322</v>
      </c>
      <c r="P94" s="24"/>
      <c r="Q94" s="24">
        <v>0</v>
      </c>
      <c r="R94" s="24"/>
      <c r="S94" s="24">
        <v>0</v>
      </c>
      <c r="T94" s="24"/>
      <c r="U94" s="24">
        <v>0</v>
      </c>
      <c r="V94" s="24"/>
      <c r="W94" s="24">
        <v>1279520</v>
      </c>
      <c r="X94" s="24"/>
      <c r="Y94" s="24">
        <f aca="true" t="shared" si="7" ref="Y94:Y99">SUM(C94:W94)</f>
        <v>123482377</v>
      </c>
      <c r="Z94" s="24"/>
      <c r="AA94" s="24">
        <v>-4903715</v>
      </c>
      <c r="AB94" s="24"/>
      <c r="AC94" s="24">
        <v>217017966</v>
      </c>
      <c r="AD94" s="24"/>
      <c r="AE94" s="24">
        <f t="shared" si="4"/>
        <v>212114251</v>
      </c>
      <c r="AF94" s="25">
        <f>+'St of Net Assets - GA'!W94-'St of Activities - GA Exp'!AE94</f>
        <v>0</v>
      </c>
      <c r="AG94" s="28"/>
    </row>
    <row r="95" spans="1:33" ht="12.75" customHeight="1">
      <c r="A95" s="23" t="s">
        <v>81</v>
      </c>
      <c r="B95" s="24"/>
      <c r="C95" s="24">
        <v>6308476</v>
      </c>
      <c r="D95" s="24"/>
      <c r="E95" s="24">
        <v>2625544</v>
      </c>
      <c r="F95" s="24"/>
      <c r="G95" s="24">
        <v>8287637</v>
      </c>
      <c r="H95" s="24"/>
      <c r="I95" s="24">
        <v>8560954</v>
      </c>
      <c r="J95" s="24"/>
      <c r="K95" s="24">
        <f>5213977+7691684+2876062+274081</f>
        <v>16055804</v>
      </c>
      <c r="L95" s="24"/>
      <c r="M95" s="24">
        <f>900901+2468022+4592982+1661477</f>
        <v>9623382</v>
      </c>
      <c r="N95" s="24"/>
      <c r="O95" s="24">
        <v>676969</v>
      </c>
      <c r="P95" s="24"/>
      <c r="Q95" s="24">
        <v>0</v>
      </c>
      <c r="R95" s="24"/>
      <c r="S95" s="24">
        <v>0</v>
      </c>
      <c r="T95" s="24"/>
      <c r="U95" s="24">
        <v>501707</v>
      </c>
      <c r="V95" s="24"/>
      <c r="W95" s="24">
        <v>229270</v>
      </c>
      <c r="X95" s="24"/>
      <c r="Y95" s="24">
        <f t="shared" si="7"/>
        <v>52869743</v>
      </c>
      <c r="Z95" s="24"/>
      <c r="AA95" s="24">
        <v>-750620</v>
      </c>
      <c r="AB95" s="24"/>
      <c r="AC95" s="24">
        <v>171325823</v>
      </c>
      <c r="AD95" s="24"/>
      <c r="AE95" s="24">
        <f t="shared" si="4"/>
        <v>170575203</v>
      </c>
      <c r="AF95" s="25">
        <f>+'St of Net Assets - GA'!W95-'St of Activities - GA Exp'!AE95</f>
        <v>0</v>
      </c>
      <c r="AG95" s="28"/>
    </row>
    <row r="96" spans="1:33" ht="12.75" customHeight="1">
      <c r="A96" s="23" t="s">
        <v>82</v>
      </c>
      <c r="B96" s="24"/>
      <c r="C96" s="24">
        <v>8176389</v>
      </c>
      <c r="D96" s="24"/>
      <c r="E96" s="24">
        <v>5856573</v>
      </c>
      <c r="F96" s="24"/>
      <c r="G96" s="24">
        <v>10539336</v>
      </c>
      <c r="H96" s="24"/>
      <c r="I96" s="24">
        <v>8613555</v>
      </c>
      <c r="J96" s="24"/>
      <c r="K96" s="24">
        <v>545914</v>
      </c>
      <c r="L96" s="24"/>
      <c r="M96" s="24">
        <v>31266388</v>
      </c>
      <c r="N96" s="24"/>
      <c r="O96" s="24">
        <v>1229400</v>
      </c>
      <c r="P96" s="24"/>
      <c r="Q96" s="24">
        <v>122473</v>
      </c>
      <c r="R96" s="24"/>
      <c r="S96" s="24">
        <f>4023+106160</f>
        <v>110183</v>
      </c>
      <c r="T96" s="24"/>
      <c r="U96" s="24">
        <v>0</v>
      </c>
      <c r="V96" s="24"/>
      <c r="W96" s="24">
        <v>307831</v>
      </c>
      <c r="X96" s="24"/>
      <c r="Y96" s="24">
        <f t="shared" si="7"/>
        <v>66768042</v>
      </c>
      <c r="Z96" s="24"/>
      <c r="AA96" s="24">
        <v>-4362948</v>
      </c>
      <c r="AB96" s="24"/>
      <c r="AC96" s="24">
        <v>120029373</v>
      </c>
      <c r="AD96" s="24"/>
      <c r="AE96" s="24">
        <f>+AC96+AA96</f>
        <v>115666425</v>
      </c>
      <c r="AF96" s="25">
        <f>+'St of Net Assets - GA'!W96-'St of Activities - GA Exp'!AE96</f>
        <v>0</v>
      </c>
      <c r="AG96" s="28"/>
    </row>
    <row r="97" spans="1:33" ht="12.75" customHeight="1" hidden="1">
      <c r="A97" s="23" t="s">
        <v>173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>
        <f t="shared" si="7"/>
        <v>0</v>
      </c>
      <c r="Z97" s="24"/>
      <c r="AA97" s="24"/>
      <c r="AB97" s="24"/>
      <c r="AC97" s="24"/>
      <c r="AD97" s="24"/>
      <c r="AE97" s="24">
        <f t="shared" si="4"/>
        <v>0</v>
      </c>
      <c r="AF97" s="25">
        <f>+'St of Net Assets - GA'!W97-'St of Activities - GA Exp'!AE97</f>
        <v>0</v>
      </c>
      <c r="AG97" s="28"/>
    </row>
    <row r="98" spans="1:33" ht="12.75" customHeight="1">
      <c r="A98" s="23" t="s">
        <v>83</v>
      </c>
      <c r="B98" s="24"/>
      <c r="C98" s="24">
        <v>18688910</v>
      </c>
      <c r="D98" s="24"/>
      <c r="E98" s="24">
        <v>8751299</v>
      </c>
      <c r="F98" s="24"/>
      <c r="G98" s="24">
        <v>8477217</v>
      </c>
      <c r="H98" s="24"/>
      <c r="I98" s="24">
        <v>9533303</v>
      </c>
      <c r="J98" s="24"/>
      <c r="K98" s="24">
        <f>13467613+641306</f>
        <v>14108919</v>
      </c>
      <c r="L98" s="24"/>
      <c r="M98" s="24">
        <f>8455507+2051966+29236746+2751451</f>
        <v>42495670</v>
      </c>
      <c r="N98" s="24"/>
      <c r="O98" s="24">
        <v>1086472</v>
      </c>
      <c r="P98" s="24"/>
      <c r="Q98" s="24">
        <v>284227</v>
      </c>
      <c r="R98" s="24"/>
      <c r="S98" s="24">
        <v>1555204</v>
      </c>
      <c r="T98" s="24"/>
      <c r="U98" s="24">
        <v>399357</v>
      </c>
      <c r="V98" s="24"/>
      <c r="W98" s="24">
        <v>376317</v>
      </c>
      <c r="X98" s="24"/>
      <c r="Y98" s="24">
        <f t="shared" si="7"/>
        <v>105756895</v>
      </c>
      <c r="Z98" s="24"/>
      <c r="AA98" s="24">
        <v>-1416154</v>
      </c>
      <c r="AB98" s="24"/>
      <c r="AC98" s="24">
        <v>169279951</v>
      </c>
      <c r="AD98" s="24"/>
      <c r="AE98" s="24">
        <f t="shared" si="4"/>
        <v>167863797</v>
      </c>
      <c r="AF98" s="25">
        <f>+'St of Net Assets - GA'!W98-'St of Activities - GA Exp'!AE98</f>
        <v>0</v>
      </c>
      <c r="AG98" s="28"/>
    </row>
    <row r="99" spans="1:33" ht="12.75" customHeight="1" hidden="1">
      <c r="A99" s="23" t="s">
        <v>174</v>
      </c>
      <c r="B99" s="24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24">
        <v>0</v>
      </c>
      <c r="P99" s="24"/>
      <c r="Q99" s="24">
        <v>0</v>
      </c>
      <c r="R99" s="24"/>
      <c r="S99" s="24">
        <v>0</v>
      </c>
      <c r="T99" s="24"/>
      <c r="U99" s="24">
        <v>0</v>
      </c>
      <c r="V99" s="24"/>
      <c r="W99" s="24">
        <v>0</v>
      </c>
      <c r="X99" s="24"/>
      <c r="Y99" s="24">
        <f t="shared" si="7"/>
        <v>0</v>
      </c>
      <c r="Z99" s="24"/>
      <c r="AA99" s="24">
        <v>0</v>
      </c>
      <c r="AB99" s="24"/>
      <c r="AC99" s="24">
        <v>0</v>
      </c>
      <c r="AD99" s="24"/>
      <c r="AE99" s="24">
        <f>+AC99+AA99</f>
        <v>0</v>
      </c>
      <c r="AF99" s="25">
        <f>+'St of Net Assets - GA'!W99-'St of Activities - GA Exp'!AE99</f>
        <v>0</v>
      </c>
      <c r="AG99" s="28"/>
    </row>
    <row r="100" spans="1:33" ht="12.75" customHeight="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8"/>
    </row>
    <row r="101" spans="1:33" ht="12.75" customHeight="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8"/>
    </row>
    <row r="102" spans="1:33" ht="12.75" customHeight="1">
      <c r="A102" s="3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5"/>
      <c r="AG102" s="28"/>
    </row>
    <row r="103" spans="1:33" ht="12.75" customHeight="1">
      <c r="A103" s="3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5"/>
      <c r="AG103" s="28"/>
    </row>
    <row r="104" spans="2:33" ht="12.75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5"/>
      <c r="AG104" s="28"/>
    </row>
    <row r="105" spans="2:32" ht="12.75" customHeight="1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96"/>
      <c r="Z105" s="39"/>
      <c r="AA105" s="39"/>
      <c r="AB105" s="39"/>
      <c r="AC105" s="39"/>
      <c r="AD105" s="39"/>
      <c r="AE105" s="96"/>
      <c r="AF105" s="25"/>
    </row>
    <row r="106" spans="2:31" ht="12.75" customHeight="1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96"/>
      <c r="Z106" s="39"/>
      <c r="AA106" s="39"/>
      <c r="AB106" s="39"/>
      <c r="AC106" s="39"/>
      <c r="AD106" s="39"/>
      <c r="AE106" s="96"/>
    </row>
    <row r="107" spans="2:31" ht="12.75" customHeight="1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96"/>
      <c r="Z107" s="39"/>
      <c r="AA107" s="39"/>
      <c r="AB107" s="39"/>
      <c r="AC107" s="39"/>
      <c r="AD107" s="39"/>
      <c r="AE107" s="96"/>
    </row>
    <row r="108" spans="2:31" ht="12.75" customHeight="1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96"/>
      <c r="Z108" s="39"/>
      <c r="AA108" s="39"/>
      <c r="AB108" s="39"/>
      <c r="AC108" s="39"/>
      <c r="AD108" s="39"/>
      <c r="AE108" s="96"/>
    </row>
    <row r="109" spans="2:31" ht="12.75" customHeight="1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96"/>
      <c r="Z109" s="39"/>
      <c r="AA109" s="39"/>
      <c r="AB109" s="39"/>
      <c r="AC109" s="39"/>
      <c r="AD109" s="39"/>
      <c r="AE109" s="96"/>
    </row>
    <row r="110" spans="2:31" ht="12.75" customHeight="1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96"/>
      <c r="Z110" s="39"/>
      <c r="AA110" s="39"/>
      <c r="AB110" s="39"/>
      <c r="AC110" s="39"/>
      <c r="AD110" s="39"/>
      <c r="AE110" s="96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</sheetData>
  <sheetProtection/>
  <printOptions/>
  <pageMargins left="0.75" right="0.75" top="0.5" bottom="0.5" header="0" footer="0.3"/>
  <pageSetup firstPageNumber="12" useFirstPageNumber="1" horizontalDpi="600" verticalDpi="600" orientation="portrait" pageOrder="overThenDown" scale="91" r:id="rId1"/>
  <headerFooter scaleWithDoc="0" alignWithMargins="0">
    <oddFooter>&amp;C&amp;"Times New Roman,Regular"&amp;11&amp;P</oddFooter>
  </headerFooter>
  <rowBreaks count="1" manualBreakCount="1">
    <brk id="80" max="24" man="1"/>
  </rowBreaks>
  <colBreaks count="1" manualBreakCount="1">
    <brk id="14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101"/>
  <sheetViews>
    <sheetView tabSelected="1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4" sqref="A4"/>
    </sheetView>
  </sheetViews>
  <sheetFormatPr defaultColWidth="9.140625" defaultRowHeight="12" customHeight="1"/>
  <cols>
    <col min="1" max="1" width="15.7109375" style="97" customWidth="1"/>
    <col min="2" max="2" width="1.7109375" style="26" customWidth="1"/>
    <col min="3" max="3" width="12.7109375" style="25" customWidth="1"/>
    <col min="4" max="4" width="1.7109375" style="25" customWidth="1"/>
    <col min="5" max="5" width="12.7109375" style="25" customWidth="1"/>
    <col min="6" max="6" width="1.7109375" style="25" customWidth="1"/>
    <col min="7" max="7" width="12.7109375" style="25" customWidth="1"/>
    <col min="8" max="8" width="1.7109375" style="25" customWidth="1"/>
    <col min="9" max="9" width="12.7109375" style="25" customWidth="1"/>
    <col min="10" max="10" width="1.7109375" style="25" customWidth="1"/>
    <col min="11" max="11" width="12.7109375" style="25" customWidth="1"/>
    <col min="12" max="12" width="1.7109375" style="25" hidden="1" customWidth="1"/>
    <col min="13" max="13" width="12.7109375" style="25" customWidth="1"/>
    <col min="14" max="14" width="1.7109375" style="25" customWidth="1"/>
    <col min="15" max="15" width="12.7109375" style="25" customWidth="1"/>
    <col min="16" max="16" width="1.7109375" style="25" customWidth="1"/>
    <col min="17" max="17" width="12.7109375" style="25" customWidth="1"/>
    <col min="18" max="18" width="1.57421875" style="25" customWidth="1"/>
    <col min="19" max="19" width="12.7109375" style="25" customWidth="1"/>
    <col min="20" max="20" width="1.57421875" style="25" customWidth="1"/>
    <col min="21" max="21" width="12.7109375" style="25" customWidth="1"/>
    <col min="22" max="22" width="9.28125" style="26" bestFit="1" customWidth="1"/>
    <col min="23" max="23" width="12.7109375" style="97" customWidth="1"/>
    <col min="24" max="16384" width="9.140625" style="26" customWidth="1"/>
  </cols>
  <sheetData>
    <row r="1" spans="1:22" ht="12.75" customHeight="1">
      <c r="A1" s="57" t="s">
        <v>198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7"/>
    </row>
    <row r="2" spans="1:22" ht="12.75" customHeight="1">
      <c r="A2" s="57" t="s">
        <v>251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/>
    </row>
    <row r="3" spans="1:22" ht="12.75" customHeight="1">
      <c r="A3" s="49"/>
      <c r="B3" s="59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9"/>
    </row>
    <row r="4" spans="1:22" ht="12.75" customHeight="1">
      <c r="A4" s="49" t="s">
        <v>183</v>
      </c>
      <c r="B4" s="19"/>
      <c r="C4" s="21"/>
      <c r="D4" s="21"/>
      <c r="E4" s="21"/>
      <c r="F4" s="21"/>
      <c r="G4" s="21"/>
      <c r="H4" s="21"/>
      <c r="I4" s="21"/>
      <c r="J4" s="21"/>
      <c r="V4" s="36"/>
    </row>
    <row r="5" spans="1:22" ht="12.75" customHeight="1">
      <c r="A5" s="49"/>
      <c r="B5" s="19"/>
      <c r="C5" s="21"/>
      <c r="D5" s="21"/>
      <c r="E5" s="21"/>
      <c r="F5" s="21"/>
      <c r="G5" s="21"/>
      <c r="H5" s="21"/>
      <c r="I5" s="21"/>
      <c r="J5" s="21"/>
      <c r="V5" s="36"/>
    </row>
    <row r="6" spans="1:22" ht="12.75" customHeight="1">
      <c r="A6" s="49"/>
      <c r="B6" s="19"/>
      <c r="C6" s="21"/>
      <c r="D6" s="21"/>
      <c r="E6" s="21"/>
      <c r="F6" s="21"/>
      <c r="G6" s="21"/>
      <c r="H6" s="21"/>
      <c r="I6" s="21"/>
      <c r="J6" s="21"/>
      <c r="K6" s="20"/>
      <c r="L6" s="20"/>
      <c r="M6" s="20"/>
      <c r="N6" s="20"/>
      <c r="O6" s="175" t="s">
        <v>253</v>
      </c>
      <c r="P6" s="20"/>
      <c r="Q6" s="20"/>
      <c r="R6" s="20"/>
      <c r="S6" s="20"/>
      <c r="T6" s="21"/>
      <c r="U6" s="21" t="s">
        <v>4</v>
      </c>
      <c r="V6" s="36"/>
    </row>
    <row r="7" spans="1:22" ht="12.75" customHeight="1">
      <c r="A7" s="19"/>
      <c r="B7" s="19"/>
      <c r="C7" s="21" t="s">
        <v>117</v>
      </c>
      <c r="D7" s="21"/>
      <c r="E7" s="21" t="s">
        <v>4</v>
      </c>
      <c r="F7" s="21"/>
      <c r="G7" s="21" t="s">
        <v>118</v>
      </c>
      <c r="H7" s="21"/>
      <c r="I7" s="21" t="s">
        <v>4</v>
      </c>
      <c r="J7" s="21"/>
      <c r="K7" s="21"/>
      <c r="L7" s="21"/>
      <c r="M7" s="21"/>
      <c r="N7" s="21"/>
      <c r="O7" s="21"/>
      <c r="P7" s="21"/>
      <c r="Q7" s="21"/>
      <c r="R7" s="21"/>
      <c r="T7" s="21"/>
      <c r="U7" s="21" t="s">
        <v>119</v>
      </c>
      <c r="V7" s="36"/>
    </row>
    <row r="8" spans="1:23" s="60" customFormat="1" ht="12.75" customHeight="1">
      <c r="A8" s="22" t="s">
        <v>5</v>
      </c>
      <c r="B8" s="19"/>
      <c r="C8" s="20" t="s">
        <v>120</v>
      </c>
      <c r="D8" s="21"/>
      <c r="E8" s="20" t="s">
        <v>116</v>
      </c>
      <c r="F8" s="21"/>
      <c r="G8" s="20" t="s">
        <v>11</v>
      </c>
      <c r="H8" s="21"/>
      <c r="I8" s="20" t="s">
        <v>121</v>
      </c>
      <c r="J8" s="21"/>
      <c r="K8" s="175" t="s">
        <v>254</v>
      </c>
      <c r="L8" s="21"/>
      <c r="M8" s="175" t="s">
        <v>141</v>
      </c>
      <c r="N8" s="176"/>
      <c r="O8" s="175" t="s">
        <v>255</v>
      </c>
      <c r="P8" s="21"/>
      <c r="Q8" s="175" t="s">
        <v>256</v>
      </c>
      <c r="R8" s="21"/>
      <c r="S8" s="175" t="s">
        <v>257</v>
      </c>
      <c r="T8" s="21"/>
      <c r="U8" s="20" t="s">
        <v>122</v>
      </c>
      <c r="V8" s="36"/>
      <c r="W8" s="28" t="s">
        <v>205</v>
      </c>
    </row>
    <row r="9" spans="1:22" ht="12.75" customHeight="1">
      <c r="A9" s="19"/>
      <c r="B9" s="1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36"/>
    </row>
    <row r="10" spans="1:23" ht="12.75" customHeight="1" hidden="1">
      <c r="A10" s="89" t="s">
        <v>235</v>
      </c>
      <c r="B10" s="19"/>
      <c r="C10" s="61">
        <v>1204846</v>
      </c>
      <c r="D10" s="61"/>
      <c r="E10" s="61">
        <v>1204846</v>
      </c>
      <c r="F10" s="61"/>
      <c r="G10" s="61">
        <v>0</v>
      </c>
      <c r="H10" s="61"/>
      <c r="I10" s="61">
        <v>0</v>
      </c>
      <c r="J10" s="61"/>
      <c r="K10" s="61"/>
      <c r="L10" s="61"/>
      <c r="M10" s="61"/>
      <c r="N10" s="61"/>
      <c r="O10" s="61">
        <v>296773</v>
      </c>
      <c r="P10" s="61"/>
      <c r="Q10" s="61"/>
      <c r="R10" s="61"/>
      <c r="S10" s="61">
        <v>908073</v>
      </c>
      <c r="T10" s="61"/>
      <c r="U10" s="61">
        <f>SUM(K10:S10)</f>
        <v>1204846</v>
      </c>
      <c r="V10" s="40"/>
      <c r="W10" s="96">
        <f aca="true" t="shared" si="0" ref="W10:W41">+E10-I10-U10</f>
        <v>0</v>
      </c>
    </row>
    <row r="11" spans="1:23" ht="12.75" customHeight="1">
      <c r="A11" s="23" t="s">
        <v>13</v>
      </c>
      <c r="B11" s="23"/>
      <c r="C11" s="61">
        <f>6440676+15359</f>
        <v>6456035</v>
      </c>
      <c r="D11" s="61"/>
      <c r="E11" s="61">
        <v>13450364</v>
      </c>
      <c r="F11" s="61"/>
      <c r="G11" s="61">
        <v>5187415</v>
      </c>
      <c r="H11" s="61"/>
      <c r="I11" s="61">
        <v>6687120</v>
      </c>
      <c r="J11" s="61"/>
      <c r="K11" s="61">
        <v>437200</v>
      </c>
      <c r="L11" s="61"/>
      <c r="M11" s="61">
        <v>301850</v>
      </c>
      <c r="N11" s="61"/>
      <c r="O11" s="61">
        <v>1237802</v>
      </c>
      <c r="P11" s="61"/>
      <c r="Q11" s="61">
        <v>1266980</v>
      </c>
      <c r="R11" s="61"/>
      <c r="S11" s="61">
        <v>3519412</v>
      </c>
      <c r="T11" s="61"/>
      <c r="U11" s="61">
        <f>SUM(K11:S11)</f>
        <v>6763244</v>
      </c>
      <c r="V11" s="40"/>
      <c r="W11" s="96">
        <f t="shared" si="0"/>
        <v>0</v>
      </c>
    </row>
    <row r="12" spans="1:23" ht="12.75" customHeight="1">
      <c r="A12" s="23" t="s">
        <v>14</v>
      </c>
      <c r="B12" s="23"/>
      <c r="C12" s="40">
        <f>1918817+502</f>
        <v>1919319</v>
      </c>
      <c r="D12" s="40"/>
      <c r="E12" s="40">
        <v>6465785</v>
      </c>
      <c r="F12" s="40"/>
      <c r="G12" s="40">
        <v>3817441</v>
      </c>
      <c r="H12" s="40"/>
      <c r="I12" s="40">
        <v>4169908</v>
      </c>
      <c r="J12" s="40"/>
      <c r="K12" s="40">
        <v>210732</v>
      </c>
      <c r="L12" s="40"/>
      <c r="M12" s="40">
        <v>6031</v>
      </c>
      <c r="N12" s="40"/>
      <c r="O12" s="40">
        <v>213709</v>
      </c>
      <c r="P12" s="40"/>
      <c r="Q12" s="40">
        <v>2055</v>
      </c>
      <c r="R12" s="40"/>
      <c r="S12" s="40">
        <v>1863350</v>
      </c>
      <c r="T12" s="40"/>
      <c r="U12" s="178">
        <f aca="true" t="shared" si="1" ref="U12:U75">SUM(K12:S12)</f>
        <v>2295877</v>
      </c>
      <c r="V12" s="40"/>
      <c r="W12" s="96">
        <f t="shared" si="0"/>
        <v>0</v>
      </c>
    </row>
    <row r="13" spans="1:23" ht="12.75" customHeight="1">
      <c r="A13" s="23" t="s">
        <v>15</v>
      </c>
      <c r="B13" s="23"/>
      <c r="C13" s="40">
        <f>5147422+22696</f>
        <v>5170118</v>
      </c>
      <c r="D13" s="40"/>
      <c r="E13" s="40">
        <v>11274582</v>
      </c>
      <c r="F13" s="40"/>
      <c r="G13" s="40">
        <v>4769714</v>
      </c>
      <c r="H13" s="40"/>
      <c r="I13" s="40">
        <v>5536232</v>
      </c>
      <c r="J13" s="40"/>
      <c r="K13" s="40">
        <v>470890</v>
      </c>
      <c r="L13" s="40"/>
      <c r="M13" s="40">
        <v>0</v>
      </c>
      <c r="N13" s="40"/>
      <c r="O13" s="40">
        <v>443829</v>
      </c>
      <c r="P13" s="40"/>
      <c r="Q13" s="40">
        <v>0</v>
      </c>
      <c r="R13" s="40"/>
      <c r="S13" s="40">
        <v>4823631</v>
      </c>
      <c r="T13" s="40"/>
      <c r="U13" s="178">
        <f t="shared" si="1"/>
        <v>5738350</v>
      </c>
      <c r="V13" s="40"/>
      <c r="W13" s="96">
        <f t="shared" si="0"/>
        <v>0</v>
      </c>
    </row>
    <row r="14" spans="1:23" ht="12.75" customHeight="1" hidden="1">
      <c r="A14" s="23" t="s">
        <v>16</v>
      </c>
      <c r="B14" s="23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>
        <v>0</v>
      </c>
      <c r="N14" s="40"/>
      <c r="O14" s="40"/>
      <c r="P14" s="40"/>
      <c r="Q14" s="40"/>
      <c r="R14" s="40"/>
      <c r="S14" s="40"/>
      <c r="T14" s="40"/>
      <c r="U14" s="178">
        <f t="shared" si="1"/>
        <v>0</v>
      </c>
      <c r="V14" s="40"/>
      <c r="W14" s="96">
        <f t="shared" si="0"/>
        <v>0</v>
      </c>
    </row>
    <row r="15" spans="1:23" ht="12.75" customHeight="1">
      <c r="A15" s="23" t="s">
        <v>17</v>
      </c>
      <c r="B15" s="23"/>
      <c r="C15" s="40">
        <v>3449365</v>
      </c>
      <c r="D15" s="40"/>
      <c r="E15" s="40">
        <v>10572709</v>
      </c>
      <c r="F15" s="40"/>
      <c r="G15" s="40">
        <v>2649972</v>
      </c>
      <c r="H15" s="40"/>
      <c r="I15" s="40">
        <v>3159844</v>
      </c>
      <c r="J15" s="40"/>
      <c r="K15" s="40">
        <f>67873+95742+2326196</f>
        <v>2489811</v>
      </c>
      <c r="L15" s="40"/>
      <c r="M15" s="40">
        <v>0</v>
      </c>
      <c r="N15" s="40"/>
      <c r="O15" s="40">
        <v>51537</v>
      </c>
      <c r="P15" s="40"/>
      <c r="Q15" s="40">
        <v>0</v>
      </c>
      <c r="R15" s="40"/>
      <c r="S15" s="40">
        <v>4871517</v>
      </c>
      <c r="T15" s="40"/>
      <c r="U15" s="178">
        <f t="shared" si="1"/>
        <v>7412865</v>
      </c>
      <c r="V15" s="40"/>
      <c r="W15" s="96">
        <f t="shared" si="0"/>
        <v>0</v>
      </c>
    </row>
    <row r="16" spans="1:23" ht="12.75" customHeight="1">
      <c r="A16" s="23" t="s">
        <v>18</v>
      </c>
      <c r="B16" s="23"/>
      <c r="C16" s="40">
        <f>2802595+10515</f>
        <v>2813110</v>
      </c>
      <c r="D16" s="40"/>
      <c r="E16" s="40">
        <v>10870494</v>
      </c>
      <c r="F16" s="40"/>
      <c r="G16" s="40">
        <v>4401635</v>
      </c>
      <c r="H16" s="40"/>
      <c r="I16" s="40">
        <v>5180812</v>
      </c>
      <c r="J16" s="40"/>
      <c r="K16" s="40">
        <f>16445+162421+671680+67304</f>
        <v>917850</v>
      </c>
      <c r="L16" s="40"/>
      <c r="M16" s="40">
        <v>0</v>
      </c>
      <c r="N16" s="40"/>
      <c r="O16" s="40">
        <f>69477+1539031</f>
        <v>1608508</v>
      </c>
      <c r="P16" s="40"/>
      <c r="Q16" s="40">
        <v>0</v>
      </c>
      <c r="R16" s="40"/>
      <c r="S16" s="40">
        <v>3163324</v>
      </c>
      <c r="T16" s="40"/>
      <c r="U16" s="178">
        <f t="shared" si="1"/>
        <v>5689682</v>
      </c>
      <c r="V16" s="40"/>
      <c r="W16" s="96">
        <f t="shared" si="0"/>
        <v>0</v>
      </c>
    </row>
    <row r="17" spans="1:23" ht="12.75" customHeight="1" hidden="1">
      <c r="A17" s="23" t="s">
        <v>238</v>
      </c>
      <c r="B17" s="2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>
        <v>0</v>
      </c>
      <c r="N17" s="40"/>
      <c r="O17" s="40"/>
      <c r="P17" s="40"/>
      <c r="Q17" s="40"/>
      <c r="R17" s="40"/>
      <c r="S17" s="40"/>
      <c r="T17" s="40"/>
      <c r="U17" s="178">
        <f t="shared" si="1"/>
        <v>0</v>
      </c>
      <c r="V17" s="40"/>
      <c r="W17" s="96">
        <f t="shared" si="0"/>
        <v>0</v>
      </c>
    </row>
    <row r="18" spans="1:23" ht="12.75" customHeight="1">
      <c r="A18" s="23" t="s">
        <v>246</v>
      </c>
      <c r="B18" s="23"/>
      <c r="C18" s="40">
        <v>12151140</v>
      </c>
      <c r="D18" s="40"/>
      <c r="E18" s="40">
        <v>41057434</v>
      </c>
      <c r="F18" s="40"/>
      <c r="G18" s="40">
        <v>20873186</v>
      </c>
      <c r="H18" s="40"/>
      <c r="I18" s="40">
        <v>24708214</v>
      </c>
      <c r="J18" s="40"/>
      <c r="K18" s="40">
        <v>1199907</v>
      </c>
      <c r="L18" s="40"/>
      <c r="M18" s="40">
        <v>0</v>
      </c>
      <c r="N18" s="40"/>
      <c r="O18" s="40">
        <v>1888809</v>
      </c>
      <c r="P18" s="40"/>
      <c r="Q18" s="40">
        <v>369363</v>
      </c>
      <c r="R18" s="40"/>
      <c r="S18" s="40">
        <v>12891141</v>
      </c>
      <c r="T18" s="40"/>
      <c r="U18" s="178">
        <f t="shared" si="1"/>
        <v>16349220</v>
      </c>
      <c r="V18" s="40"/>
      <c r="W18" s="96">
        <f t="shared" si="0"/>
        <v>0</v>
      </c>
    </row>
    <row r="19" spans="1:23" ht="12.75" customHeight="1">
      <c r="A19" s="23" t="s">
        <v>20</v>
      </c>
      <c r="B19" s="23"/>
      <c r="C19" s="40">
        <f>2093496+146687</f>
        <v>2240183</v>
      </c>
      <c r="D19" s="40"/>
      <c r="E19" s="40">
        <v>5253187</v>
      </c>
      <c r="F19" s="40"/>
      <c r="G19" s="40">
        <v>599124</v>
      </c>
      <c r="H19" s="40"/>
      <c r="I19" s="40">
        <v>3389401</v>
      </c>
      <c r="J19" s="40"/>
      <c r="K19" s="40">
        <v>123551</v>
      </c>
      <c r="L19" s="40"/>
      <c r="M19" s="40">
        <v>0</v>
      </c>
      <c r="N19" s="40"/>
      <c r="O19" s="40">
        <v>532160</v>
      </c>
      <c r="P19" s="40"/>
      <c r="Q19" s="40">
        <v>30945</v>
      </c>
      <c r="R19" s="40"/>
      <c r="S19" s="40">
        <v>1177130</v>
      </c>
      <c r="T19" s="40"/>
      <c r="U19" s="178">
        <f t="shared" si="1"/>
        <v>1863786</v>
      </c>
      <c r="V19" s="40"/>
      <c r="W19" s="96">
        <f t="shared" si="0"/>
        <v>0</v>
      </c>
    </row>
    <row r="20" spans="1:23" ht="12.75" customHeight="1" hidden="1">
      <c r="A20" s="23" t="s">
        <v>171</v>
      </c>
      <c r="B20" s="2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>
        <v>0</v>
      </c>
      <c r="N20" s="40"/>
      <c r="O20" s="40"/>
      <c r="P20" s="40"/>
      <c r="Q20" s="40"/>
      <c r="R20" s="40"/>
      <c r="S20" s="40"/>
      <c r="T20" s="40"/>
      <c r="U20" s="178">
        <f t="shared" si="1"/>
        <v>0</v>
      </c>
      <c r="V20" s="40"/>
      <c r="W20" s="96">
        <f t="shared" si="0"/>
        <v>0</v>
      </c>
    </row>
    <row r="21" spans="1:23" ht="12.75" customHeight="1">
      <c r="A21" s="23" t="s">
        <v>21</v>
      </c>
      <c r="B21" s="23"/>
      <c r="C21" s="40">
        <v>7860694</v>
      </c>
      <c r="D21" s="40"/>
      <c r="E21" s="40">
        <v>17828674</v>
      </c>
      <c r="F21" s="40"/>
      <c r="G21" s="40">
        <v>5387431</v>
      </c>
      <c r="H21" s="40"/>
      <c r="I21" s="40">
        <v>6300119</v>
      </c>
      <c r="J21" s="40"/>
      <c r="K21" s="40">
        <v>831198</v>
      </c>
      <c r="L21" s="40"/>
      <c r="M21" s="40">
        <v>0</v>
      </c>
      <c r="N21" s="40"/>
      <c r="O21" s="40">
        <v>1124930</v>
      </c>
      <c r="P21" s="40"/>
      <c r="Q21" s="40">
        <v>0</v>
      </c>
      <c r="R21" s="40"/>
      <c r="S21" s="40">
        <v>9572427</v>
      </c>
      <c r="T21" s="40"/>
      <c r="U21" s="178">
        <f t="shared" si="1"/>
        <v>11528555</v>
      </c>
      <c r="V21" s="40"/>
      <c r="W21" s="96">
        <f t="shared" si="0"/>
        <v>0</v>
      </c>
    </row>
    <row r="22" spans="1:23" ht="12.75" customHeight="1">
      <c r="A22" s="23" t="s">
        <v>180</v>
      </c>
      <c r="B22" s="23"/>
      <c r="C22" s="40">
        <v>16859228</v>
      </c>
      <c r="D22" s="40"/>
      <c r="E22" s="40">
        <v>38728840</v>
      </c>
      <c r="F22" s="40"/>
      <c r="G22" s="40">
        <v>18052245</v>
      </c>
      <c r="H22" s="40"/>
      <c r="I22" s="40">
        <v>19317508</v>
      </c>
      <c r="J22" s="40"/>
      <c r="K22" s="40">
        <f>805080+394792</f>
        <v>1199872</v>
      </c>
      <c r="L22" s="40"/>
      <c r="M22" s="40">
        <v>0</v>
      </c>
      <c r="N22" s="144"/>
      <c r="O22" s="144">
        <f>877764+4054846+2023059</f>
        <v>6955669</v>
      </c>
      <c r="P22" s="40"/>
      <c r="Q22" s="40">
        <v>0</v>
      </c>
      <c r="R22" s="40"/>
      <c r="S22" s="40">
        <v>11255791</v>
      </c>
      <c r="T22" s="40"/>
      <c r="U22" s="178">
        <f t="shared" si="1"/>
        <v>19411332</v>
      </c>
      <c r="V22" s="40"/>
      <c r="W22" s="96">
        <f t="shared" si="0"/>
        <v>0</v>
      </c>
    </row>
    <row r="23" spans="1:23" ht="12.75" customHeight="1">
      <c r="A23" s="23" t="s">
        <v>22</v>
      </c>
      <c r="B23" s="23"/>
      <c r="C23" s="40">
        <f>4377010+15000607</f>
        <v>19377617</v>
      </c>
      <c r="D23" s="40"/>
      <c r="E23" s="40">
        <v>39912341</v>
      </c>
      <c r="F23" s="40"/>
      <c r="G23" s="40">
        <v>16611230</v>
      </c>
      <c r="H23" s="40"/>
      <c r="I23" s="40">
        <v>19286056</v>
      </c>
      <c r="J23" s="40"/>
      <c r="K23" s="40">
        <v>98942</v>
      </c>
      <c r="L23" s="40"/>
      <c r="M23" s="40">
        <v>0</v>
      </c>
      <c r="N23" s="40"/>
      <c r="O23" s="40">
        <v>598582</v>
      </c>
      <c r="P23" s="40"/>
      <c r="Q23" s="40">
        <v>114632</v>
      </c>
      <c r="R23" s="40"/>
      <c r="S23" s="40">
        <v>19814129</v>
      </c>
      <c r="T23" s="40"/>
      <c r="U23" s="178">
        <f t="shared" si="1"/>
        <v>20626285</v>
      </c>
      <c r="V23" s="40"/>
      <c r="W23" s="96">
        <f t="shared" si="0"/>
        <v>0</v>
      </c>
    </row>
    <row r="24" spans="1:23" ht="12.75" customHeight="1" hidden="1">
      <c r="A24" s="23" t="s">
        <v>23</v>
      </c>
      <c r="B24" s="23"/>
      <c r="C24" s="40">
        <v>2816519</v>
      </c>
      <c r="D24" s="40"/>
      <c r="E24" s="40">
        <v>2816519</v>
      </c>
      <c r="F24" s="40"/>
      <c r="G24" s="40"/>
      <c r="H24" s="40"/>
      <c r="I24" s="40"/>
      <c r="J24" s="40"/>
      <c r="K24" s="40">
        <v>320880</v>
      </c>
      <c r="L24" s="40"/>
      <c r="M24" s="40">
        <v>0</v>
      </c>
      <c r="N24" s="40"/>
      <c r="O24" s="40">
        <v>1192959</v>
      </c>
      <c r="P24" s="40"/>
      <c r="Q24" s="40"/>
      <c r="R24" s="40"/>
      <c r="S24" s="40">
        <v>1302680</v>
      </c>
      <c r="T24" s="40"/>
      <c r="U24" s="178">
        <f t="shared" si="1"/>
        <v>2816519</v>
      </c>
      <c r="V24" s="40"/>
      <c r="W24" s="96">
        <f t="shared" si="0"/>
        <v>0</v>
      </c>
    </row>
    <row r="25" spans="1:23" ht="12.75" customHeight="1">
      <c r="A25" s="23" t="s">
        <v>24</v>
      </c>
      <c r="B25" s="23"/>
      <c r="C25" s="40">
        <v>1813460</v>
      </c>
      <c r="D25" s="40"/>
      <c r="E25" s="40">
        <v>5366574</v>
      </c>
      <c r="F25" s="40"/>
      <c r="G25" s="40">
        <v>1289803</v>
      </c>
      <c r="H25" s="40"/>
      <c r="I25" s="40">
        <v>3184999</v>
      </c>
      <c r="J25" s="40"/>
      <c r="K25" s="40">
        <v>134918</v>
      </c>
      <c r="L25" s="40"/>
      <c r="M25" s="40">
        <v>0</v>
      </c>
      <c r="N25" s="40"/>
      <c r="O25" s="40">
        <v>1849155</v>
      </c>
      <c r="P25" s="40"/>
      <c r="Q25" s="40">
        <v>0</v>
      </c>
      <c r="R25" s="40"/>
      <c r="S25" s="40">
        <v>197502</v>
      </c>
      <c r="T25" s="40"/>
      <c r="U25" s="178">
        <f t="shared" si="1"/>
        <v>2181575</v>
      </c>
      <c r="V25" s="40"/>
      <c r="W25" s="96">
        <f t="shared" si="0"/>
        <v>0</v>
      </c>
    </row>
    <row r="26" spans="1:23" ht="12.75" customHeight="1">
      <c r="A26" s="23" t="s">
        <v>178</v>
      </c>
      <c r="B26" s="23"/>
      <c r="C26" s="40">
        <v>2506861</v>
      </c>
      <c r="D26" s="40"/>
      <c r="E26" s="40">
        <v>7006335</v>
      </c>
      <c r="F26" s="40"/>
      <c r="G26" s="40">
        <v>2813261</v>
      </c>
      <c r="H26" s="40"/>
      <c r="I26" s="40">
        <v>3086563</v>
      </c>
      <c r="J26" s="40"/>
      <c r="K26" s="40">
        <v>258787</v>
      </c>
      <c r="L26" s="40"/>
      <c r="M26" s="40">
        <v>0</v>
      </c>
      <c r="N26" s="40"/>
      <c r="O26" s="40">
        <v>261850</v>
      </c>
      <c r="P26" s="40"/>
      <c r="Q26" s="40">
        <v>0</v>
      </c>
      <c r="R26" s="40"/>
      <c r="S26" s="40">
        <v>3399135</v>
      </c>
      <c r="T26" s="40"/>
      <c r="U26" s="178">
        <f t="shared" si="1"/>
        <v>3919772</v>
      </c>
      <c r="V26" s="40"/>
      <c r="W26" s="96">
        <f t="shared" si="0"/>
        <v>0</v>
      </c>
    </row>
    <row r="27" spans="1:23" ht="12.75" customHeight="1" hidden="1">
      <c r="A27" s="23" t="s">
        <v>25</v>
      </c>
      <c r="B27" s="2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>
        <v>0</v>
      </c>
      <c r="N27" s="40"/>
      <c r="O27" s="40"/>
      <c r="P27" s="40"/>
      <c r="Q27" s="40"/>
      <c r="R27" s="40"/>
      <c r="S27" s="40"/>
      <c r="T27" s="40"/>
      <c r="U27" s="178">
        <f t="shared" si="1"/>
        <v>0</v>
      </c>
      <c r="V27" s="40"/>
      <c r="W27" s="96">
        <f t="shared" si="0"/>
        <v>0</v>
      </c>
    </row>
    <row r="28" spans="1:23" ht="12.75" customHeight="1" hidden="1">
      <c r="A28" s="131" t="s">
        <v>250</v>
      </c>
      <c r="B28" s="23"/>
      <c r="C28" s="40">
        <v>3339791</v>
      </c>
      <c r="D28" s="40"/>
      <c r="E28" s="40">
        <v>3339791</v>
      </c>
      <c r="F28" s="40"/>
      <c r="G28" s="40"/>
      <c r="H28" s="40"/>
      <c r="I28" s="40"/>
      <c r="J28" s="40"/>
      <c r="K28" s="40"/>
      <c r="L28" s="40"/>
      <c r="M28" s="40">
        <v>0</v>
      </c>
      <c r="N28" s="40"/>
      <c r="O28" s="40">
        <v>49540</v>
      </c>
      <c r="P28" s="40"/>
      <c r="Q28" s="40"/>
      <c r="R28" s="40"/>
      <c r="S28" s="40">
        <v>3290251</v>
      </c>
      <c r="T28" s="40"/>
      <c r="U28" s="178">
        <f t="shared" si="1"/>
        <v>3339791</v>
      </c>
      <c r="V28" s="40"/>
      <c r="W28" s="96">
        <f t="shared" si="0"/>
        <v>0</v>
      </c>
    </row>
    <row r="29" spans="1:23" ht="12.75" customHeight="1">
      <c r="A29" s="23" t="s">
        <v>27</v>
      </c>
      <c r="B29" s="23"/>
      <c r="C29" s="40">
        <f>5092817+3483</f>
        <v>5096300</v>
      </c>
      <c r="D29" s="40"/>
      <c r="E29" s="40">
        <v>13716191</v>
      </c>
      <c r="F29" s="40"/>
      <c r="G29" s="40">
        <v>1446340</v>
      </c>
      <c r="H29" s="40"/>
      <c r="I29" s="40">
        <v>3510381</v>
      </c>
      <c r="J29" s="40"/>
      <c r="K29" s="40">
        <v>4961642</v>
      </c>
      <c r="L29" s="40"/>
      <c r="M29" s="40">
        <v>0</v>
      </c>
      <c r="N29" s="40"/>
      <c r="O29" s="40">
        <v>4900645</v>
      </c>
      <c r="P29" s="40"/>
      <c r="Q29" s="40">
        <v>3659</v>
      </c>
      <c r="R29" s="40"/>
      <c r="S29" s="40">
        <v>339864</v>
      </c>
      <c r="T29" s="40"/>
      <c r="U29" s="178">
        <f t="shared" si="1"/>
        <v>10205810</v>
      </c>
      <c r="V29" s="40"/>
      <c r="W29" s="96">
        <f t="shared" si="0"/>
        <v>0</v>
      </c>
    </row>
    <row r="30" spans="1:23" ht="12.75" customHeight="1">
      <c r="A30" s="23" t="s">
        <v>28</v>
      </c>
      <c r="B30" s="23"/>
      <c r="C30" s="40">
        <f>21282056+10688</f>
        <v>21292744</v>
      </c>
      <c r="D30" s="40"/>
      <c r="E30" s="40">
        <v>50046527</v>
      </c>
      <c r="F30" s="40"/>
      <c r="G30" s="40">
        <v>16993509</v>
      </c>
      <c r="H30" s="40"/>
      <c r="I30" s="40">
        <v>19380377</v>
      </c>
      <c r="J30" s="40"/>
      <c r="K30" s="40">
        <v>1679663</v>
      </c>
      <c r="L30" s="40"/>
      <c r="M30" s="40">
        <v>0</v>
      </c>
      <c r="N30" s="40"/>
      <c r="O30" s="40">
        <v>11433960</v>
      </c>
      <c r="P30" s="40"/>
      <c r="Q30" s="40">
        <v>96126</v>
      </c>
      <c r="R30" s="40"/>
      <c r="S30" s="40">
        <v>17456401</v>
      </c>
      <c r="T30" s="40"/>
      <c r="U30" s="178">
        <f t="shared" si="1"/>
        <v>30666150</v>
      </c>
      <c r="V30" s="40"/>
      <c r="W30" s="96">
        <f t="shared" si="0"/>
        <v>0</v>
      </c>
    </row>
    <row r="31" spans="1:23" ht="12.75" customHeight="1">
      <c r="A31" s="23" t="s">
        <v>29</v>
      </c>
      <c r="B31" s="23"/>
      <c r="C31" s="40">
        <v>6643901</v>
      </c>
      <c r="D31" s="40"/>
      <c r="E31" s="40">
        <v>18055302</v>
      </c>
      <c r="F31" s="40"/>
      <c r="G31" s="40">
        <v>8022247</v>
      </c>
      <c r="H31" s="40"/>
      <c r="I31" s="40">
        <v>9164015</v>
      </c>
      <c r="J31" s="40"/>
      <c r="K31" s="40">
        <v>1150050</v>
      </c>
      <c r="L31" s="40"/>
      <c r="M31" s="40">
        <v>0</v>
      </c>
      <c r="N31" s="40"/>
      <c r="O31" s="40">
        <v>291393</v>
      </c>
      <c r="P31" s="40"/>
      <c r="Q31" s="40">
        <v>320791</v>
      </c>
      <c r="R31" s="40"/>
      <c r="S31" s="40">
        <v>7129053</v>
      </c>
      <c r="T31" s="40"/>
      <c r="U31" s="178">
        <f t="shared" si="1"/>
        <v>8891287</v>
      </c>
      <c r="V31" s="40"/>
      <c r="W31" s="96">
        <f t="shared" si="0"/>
        <v>0</v>
      </c>
    </row>
    <row r="32" spans="1:23" ht="12.75" customHeight="1">
      <c r="A32" s="23" t="s">
        <v>30</v>
      </c>
      <c r="B32" s="23"/>
      <c r="C32" s="40">
        <f>12153799+93686+169945</f>
        <v>12417430</v>
      </c>
      <c r="D32" s="40"/>
      <c r="E32" s="40">
        <v>30262007</v>
      </c>
      <c r="F32" s="40"/>
      <c r="G32" s="40">
        <v>12125475</v>
      </c>
      <c r="H32" s="40"/>
      <c r="I32" s="40">
        <v>14212198</v>
      </c>
      <c r="J32" s="40"/>
      <c r="K32" s="40">
        <v>1778218</v>
      </c>
      <c r="L32" s="40"/>
      <c r="M32" s="40">
        <v>0</v>
      </c>
      <c r="N32" s="40"/>
      <c r="O32" s="40">
        <v>6604540</v>
      </c>
      <c r="P32" s="40"/>
      <c r="Q32" s="40">
        <v>348551</v>
      </c>
      <c r="R32" s="40"/>
      <c r="S32" s="40">
        <v>7318500</v>
      </c>
      <c r="T32" s="40"/>
      <c r="U32" s="178">
        <f t="shared" si="1"/>
        <v>16049809</v>
      </c>
      <c r="V32" s="40"/>
      <c r="W32" s="96">
        <f t="shared" si="0"/>
        <v>0</v>
      </c>
    </row>
    <row r="33" spans="1:23" ht="12.75" customHeight="1" hidden="1">
      <c r="A33" s="23" t="s">
        <v>237</v>
      </c>
      <c r="B33" s="2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>
        <v>0</v>
      </c>
      <c r="N33" s="40"/>
      <c r="O33" s="40"/>
      <c r="P33" s="40"/>
      <c r="Q33" s="40"/>
      <c r="R33" s="40"/>
      <c r="S33" s="40"/>
      <c r="T33" s="40"/>
      <c r="U33" s="178">
        <f t="shared" si="1"/>
        <v>0</v>
      </c>
      <c r="V33" s="40"/>
      <c r="W33" s="96">
        <f t="shared" si="0"/>
        <v>0</v>
      </c>
    </row>
    <row r="34" spans="1:23" ht="12.75" customHeight="1">
      <c r="A34" s="23" t="s">
        <v>32</v>
      </c>
      <c r="B34" s="23"/>
      <c r="C34" s="40">
        <f>182694000+5000</f>
        <v>182699000</v>
      </c>
      <c r="D34" s="40"/>
      <c r="E34" s="144">
        <v>295911000</v>
      </c>
      <c r="F34" s="40"/>
      <c r="G34" s="40">
        <v>29176000</v>
      </c>
      <c r="H34" s="40"/>
      <c r="I34" s="40">
        <v>78410000</v>
      </c>
      <c r="J34" s="40"/>
      <c r="K34" s="40">
        <v>2244000</v>
      </c>
      <c r="L34" s="40"/>
      <c r="M34" s="40">
        <v>0</v>
      </c>
      <c r="N34" s="40"/>
      <c r="O34" s="40">
        <v>12502000</v>
      </c>
      <c r="P34" s="40"/>
      <c r="Q34" s="40">
        <v>3023000</v>
      </c>
      <c r="R34" s="40"/>
      <c r="S34" s="40">
        <v>199732000</v>
      </c>
      <c r="T34" s="40"/>
      <c r="U34" s="178">
        <f t="shared" si="1"/>
        <v>217501000</v>
      </c>
      <c r="V34" s="40"/>
      <c r="W34" s="96">
        <f t="shared" si="0"/>
        <v>0</v>
      </c>
    </row>
    <row r="35" spans="1:23" ht="12.75" customHeight="1">
      <c r="A35" s="23" t="s">
        <v>33</v>
      </c>
      <c r="B35" s="23"/>
      <c r="C35" s="40">
        <f>5322694+57207</f>
        <v>5379901</v>
      </c>
      <c r="D35" s="40"/>
      <c r="E35" s="40">
        <v>9698393</v>
      </c>
      <c r="F35" s="40"/>
      <c r="G35" s="40">
        <v>1106784</v>
      </c>
      <c r="H35" s="40"/>
      <c r="I35" s="40">
        <v>3053415</v>
      </c>
      <c r="J35" s="40"/>
      <c r="K35" s="40">
        <v>339513</v>
      </c>
      <c r="L35" s="40"/>
      <c r="M35" s="40">
        <v>0</v>
      </c>
      <c r="N35" s="40"/>
      <c r="O35" s="40">
        <v>138831</v>
      </c>
      <c r="P35" s="40"/>
      <c r="Q35" s="40">
        <v>0</v>
      </c>
      <c r="R35" s="40"/>
      <c r="S35" s="40">
        <v>6166634</v>
      </c>
      <c r="T35" s="40"/>
      <c r="U35" s="178">
        <f t="shared" si="1"/>
        <v>6644978</v>
      </c>
      <c r="V35" s="40"/>
      <c r="W35" s="96">
        <f t="shared" si="0"/>
        <v>0</v>
      </c>
    </row>
    <row r="36" spans="1:23" ht="12.75" customHeight="1">
      <c r="A36" s="23" t="s">
        <v>34</v>
      </c>
      <c r="B36" s="23"/>
      <c r="C36" s="40">
        <f>595175+14817+19634</f>
        <v>629626</v>
      </c>
      <c r="D36" s="40"/>
      <c r="E36" s="40">
        <v>5028138</v>
      </c>
      <c r="F36" s="40"/>
      <c r="G36" s="40">
        <v>3425777</v>
      </c>
      <c r="H36" s="40"/>
      <c r="I36" s="40">
        <v>3909208</v>
      </c>
      <c r="J36" s="40"/>
      <c r="K36" s="40">
        <v>79339</v>
      </c>
      <c r="L36" s="40"/>
      <c r="M36" s="40">
        <v>0</v>
      </c>
      <c r="N36" s="40"/>
      <c r="O36" s="40">
        <v>2920</v>
      </c>
      <c r="P36" s="40"/>
      <c r="Q36" s="40">
        <v>51291</v>
      </c>
      <c r="R36" s="40"/>
      <c r="S36" s="40">
        <v>985380</v>
      </c>
      <c r="T36" s="40"/>
      <c r="U36" s="178">
        <f t="shared" si="1"/>
        <v>1118930</v>
      </c>
      <c r="V36" s="40"/>
      <c r="W36" s="96">
        <f t="shared" si="0"/>
        <v>0</v>
      </c>
    </row>
    <row r="37" spans="1:23" ht="12.75" customHeight="1">
      <c r="A37" s="23" t="s">
        <v>35</v>
      </c>
      <c r="B37" s="23"/>
      <c r="C37" s="40">
        <v>6345470</v>
      </c>
      <c r="D37" s="40"/>
      <c r="E37" s="40">
        <v>20604392</v>
      </c>
      <c r="F37" s="40"/>
      <c r="G37" s="40">
        <v>12254153</v>
      </c>
      <c r="H37" s="40"/>
      <c r="I37" s="40">
        <v>12988235</v>
      </c>
      <c r="J37" s="40"/>
      <c r="K37" s="40">
        <v>341884</v>
      </c>
      <c r="L37" s="40"/>
      <c r="M37" s="40">
        <v>0</v>
      </c>
      <c r="N37" s="40"/>
      <c r="O37" s="40">
        <v>682338</v>
      </c>
      <c r="P37" s="40"/>
      <c r="Q37" s="40">
        <v>246758</v>
      </c>
      <c r="R37" s="40"/>
      <c r="S37" s="40">
        <v>6345177</v>
      </c>
      <c r="T37" s="40"/>
      <c r="U37" s="178">
        <f t="shared" si="1"/>
        <v>7616157</v>
      </c>
      <c r="V37" s="40"/>
      <c r="W37" s="96">
        <f t="shared" si="0"/>
        <v>0</v>
      </c>
    </row>
    <row r="38" spans="1:23" ht="12.75" customHeight="1">
      <c r="A38" s="23" t="s">
        <v>181</v>
      </c>
      <c r="B38" s="23"/>
      <c r="C38" s="40">
        <v>20033919</v>
      </c>
      <c r="D38" s="40"/>
      <c r="E38" s="40">
        <v>36538179</v>
      </c>
      <c r="F38" s="40"/>
      <c r="G38" s="40">
        <v>11709734</v>
      </c>
      <c r="H38" s="40"/>
      <c r="I38" s="40">
        <v>13203078</v>
      </c>
      <c r="J38" s="40"/>
      <c r="K38" s="40">
        <v>211956</v>
      </c>
      <c r="L38" s="40"/>
      <c r="M38" s="40">
        <v>0</v>
      </c>
      <c r="N38" s="40"/>
      <c r="O38" s="40">
        <v>0</v>
      </c>
      <c r="P38" s="40"/>
      <c r="Q38" s="40">
        <v>2138635</v>
      </c>
      <c r="R38" s="40"/>
      <c r="S38" s="40">
        <v>20984510</v>
      </c>
      <c r="T38" s="40"/>
      <c r="U38" s="178">
        <f t="shared" si="1"/>
        <v>23335101</v>
      </c>
      <c r="V38" s="40"/>
      <c r="W38" s="96">
        <f t="shared" si="0"/>
        <v>0</v>
      </c>
    </row>
    <row r="39" spans="1:23" ht="12.75" customHeight="1" hidden="1">
      <c r="A39" s="23" t="s">
        <v>242</v>
      </c>
      <c r="B39" s="23"/>
      <c r="C39" s="24"/>
      <c r="D39" s="40"/>
      <c r="E39" s="24"/>
      <c r="F39" s="40"/>
      <c r="G39" s="24"/>
      <c r="H39" s="40"/>
      <c r="I39" s="24"/>
      <c r="J39" s="40"/>
      <c r="K39" s="24"/>
      <c r="L39" s="40"/>
      <c r="M39" s="40">
        <v>0</v>
      </c>
      <c r="N39" s="24"/>
      <c r="O39" s="24"/>
      <c r="P39" s="40"/>
      <c r="Q39" s="40"/>
      <c r="R39" s="40"/>
      <c r="S39" s="40"/>
      <c r="T39" s="40"/>
      <c r="U39" s="178">
        <f t="shared" si="1"/>
        <v>0</v>
      </c>
      <c r="V39" s="40"/>
      <c r="W39" s="96">
        <f t="shared" si="0"/>
        <v>0</v>
      </c>
    </row>
    <row r="40" spans="1:23" ht="12.75" customHeight="1" hidden="1">
      <c r="A40" s="23" t="s">
        <v>37</v>
      </c>
      <c r="B40" s="23"/>
      <c r="C40" s="24"/>
      <c r="D40" s="40"/>
      <c r="E40" s="24"/>
      <c r="F40" s="40"/>
      <c r="G40" s="24"/>
      <c r="H40" s="40"/>
      <c r="I40" s="24"/>
      <c r="J40" s="40"/>
      <c r="K40" s="24"/>
      <c r="L40" s="40"/>
      <c r="M40" s="40">
        <v>0</v>
      </c>
      <c r="N40" s="24"/>
      <c r="O40" s="24"/>
      <c r="P40" s="40"/>
      <c r="Q40" s="40"/>
      <c r="R40" s="40"/>
      <c r="S40" s="40"/>
      <c r="T40" s="40"/>
      <c r="U40" s="178">
        <f t="shared" si="1"/>
        <v>0</v>
      </c>
      <c r="V40" s="40"/>
      <c r="W40" s="96">
        <f t="shared" si="0"/>
        <v>0</v>
      </c>
    </row>
    <row r="41" spans="1:23" ht="12.75" customHeight="1">
      <c r="A41" s="23" t="s">
        <v>38</v>
      </c>
      <c r="B41" s="23"/>
      <c r="C41" s="24">
        <f>6128132</f>
        <v>6128132</v>
      </c>
      <c r="D41" s="40"/>
      <c r="E41" s="24">
        <v>13499154</v>
      </c>
      <c r="F41" s="40"/>
      <c r="G41" s="24">
        <v>3797241</v>
      </c>
      <c r="H41" s="40"/>
      <c r="I41" s="24">
        <v>6594034</v>
      </c>
      <c r="J41" s="40"/>
      <c r="K41" s="24">
        <v>213404</v>
      </c>
      <c r="L41" s="40"/>
      <c r="M41" s="40">
        <v>0</v>
      </c>
      <c r="N41" s="24"/>
      <c r="O41" s="24">
        <v>2630334</v>
      </c>
      <c r="P41" s="40"/>
      <c r="Q41" s="40">
        <v>232384</v>
      </c>
      <c r="R41" s="40"/>
      <c r="S41" s="40">
        <v>3828998</v>
      </c>
      <c r="T41" s="40"/>
      <c r="U41" s="178">
        <f t="shared" si="1"/>
        <v>6905120</v>
      </c>
      <c r="V41" s="40"/>
      <c r="W41" s="96">
        <f t="shared" si="0"/>
        <v>0</v>
      </c>
    </row>
    <row r="42" spans="1:23" ht="12.75" customHeight="1" hidden="1">
      <c r="A42" s="23" t="s">
        <v>167</v>
      </c>
      <c r="B42" s="23"/>
      <c r="C42" s="24"/>
      <c r="D42" s="40"/>
      <c r="E42" s="24"/>
      <c r="F42" s="40"/>
      <c r="G42" s="24"/>
      <c r="H42" s="40"/>
      <c r="I42" s="24"/>
      <c r="J42" s="40"/>
      <c r="K42" s="24"/>
      <c r="L42" s="40"/>
      <c r="M42" s="40">
        <v>0</v>
      </c>
      <c r="N42" s="24"/>
      <c r="O42" s="24"/>
      <c r="P42" s="40"/>
      <c r="Q42" s="40"/>
      <c r="R42" s="40"/>
      <c r="S42" s="40"/>
      <c r="T42" s="40"/>
      <c r="U42" s="178">
        <f t="shared" si="1"/>
        <v>0</v>
      </c>
      <c r="V42" s="40"/>
      <c r="W42" s="96">
        <f aca="true" t="shared" si="2" ref="W42:W77">+E42-I42-U42</f>
        <v>0</v>
      </c>
    </row>
    <row r="43" spans="1:23" ht="12.75" customHeight="1" hidden="1">
      <c r="A43" s="23" t="s">
        <v>39</v>
      </c>
      <c r="B43" s="23"/>
      <c r="C43" s="24"/>
      <c r="D43" s="40"/>
      <c r="E43" s="24"/>
      <c r="F43" s="40"/>
      <c r="G43" s="24"/>
      <c r="H43" s="40"/>
      <c r="I43" s="24"/>
      <c r="J43" s="40"/>
      <c r="K43" s="24"/>
      <c r="L43" s="40"/>
      <c r="M43" s="40">
        <v>0</v>
      </c>
      <c r="N43" s="24"/>
      <c r="O43" s="24"/>
      <c r="P43" s="40"/>
      <c r="Q43" s="40"/>
      <c r="R43" s="40"/>
      <c r="S43" s="40"/>
      <c r="T43" s="40"/>
      <c r="U43" s="178">
        <f t="shared" si="1"/>
        <v>0</v>
      </c>
      <c r="V43" s="40"/>
      <c r="W43" s="96">
        <f t="shared" si="2"/>
        <v>0</v>
      </c>
    </row>
    <row r="44" spans="1:23" ht="12.75" customHeight="1">
      <c r="A44" s="23" t="s">
        <v>40</v>
      </c>
      <c r="B44" s="23"/>
      <c r="C44" s="24">
        <v>5114922</v>
      </c>
      <c r="D44" s="40"/>
      <c r="E44" s="24">
        <v>8383193</v>
      </c>
      <c r="F44" s="40"/>
      <c r="G44" s="24">
        <v>420501</v>
      </c>
      <c r="H44" s="40"/>
      <c r="I44" s="24">
        <v>2417303</v>
      </c>
      <c r="J44" s="40"/>
      <c r="K44" s="24">
        <v>63881</v>
      </c>
      <c r="L44" s="40"/>
      <c r="M44" s="40">
        <v>0</v>
      </c>
      <c r="N44" s="24"/>
      <c r="O44" s="24">
        <v>25564</v>
      </c>
      <c r="P44" s="40"/>
      <c r="Q44" s="40">
        <v>0</v>
      </c>
      <c r="R44" s="40"/>
      <c r="S44" s="40">
        <v>5876445</v>
      </c>
      <c r="T44" s="40"/>
      <c r="U44" s="178">
        <f t="shared" si="1"/>
        <v>5965890</v>
      </c>
      <c r="V44" s="40"/>
      <c r="W44" s="96">
        <f t="shared" si="2"/>
        <v>0</v>
      </c>
    </row>
    <row r="45" spans="1:23" ht="12.75" customHeight="1" hidden="1">
      <c r="A45" s="23" t="s">
        <v>41</v>
      </c>
      <c r="B45" s="23"/>
      <c r="C45" s="24"/>
      <c r="D45" s="40"/>
      <c r="E45" s="24"/>
      <c r="F45" s="40"/>
      <c r="G45" s="24"/>
      <c r="H45" s="40"/>
      <c r="I45" s="24"/>
      <c r="J45" s="40"/>
      <c r="K45" s="24"/>
      <c r="L45" s="40"/>
      <c r="M45" s="40">
        <v>0</v>
      </c>
      <c r="N45" s="24"/>
      <c r="O45" s="24"/>
      <c r="P45" s="40"/>
      <c r="Q45" s="40"/>
      <c r="R45" s="40"/>
      <c r="S45" s="40"/>
      <c r="T45" s="40"/>
      <c r="U45" s="178">
        <f t="shared" si="1"/>
        <v>0</v>
      </c>
      <c r="V45" s="40"/>
      <c r="W45" s="96">
        <f t="shared" si="2"/>
        <v>0</v>
      </c>
    </row>
    <row r="46" spans="1:23" ht="12.75" customHeight="1">
      <c r="A46" s="23" t="s">
        <v>42</v>
      </c>
      <c r="B46" s="23"/>
      <c r="C46" s="24">
        <v>3094970</v>
      </c>
      <c r="D46" s="144"/>
      <c r="E46" s="24">
        <v>6198026</v>
      </c>
      <c r="F46" s="144"/>
      <c r="G46" s="24">
        <v>2507471</v>
      </c>
      <c r="H46" s="144"/>
      <c r="I46" s="24">
        <v>2772771</v>
      </c>
      <c r="J46" s="144"/>
      <c r="K46" s="24">
        <v>130114</v>
      </c>
      <c r="L46" s="144"/>
      <c r="M46" s="40">
        <v>0</v>
      </c>
      <c r="N46" s="24"/>
      <c r="O46" s="24">
        <v>106188</v>
      </c>
      <c r="P46" s="144"/>
      <c r="Q46" s="144">
        <v>0</v>
      </c>
      <c r="S46" s="144">
        <v>3188953</v>
      </c>
      <c r="T46" s="144"/>
      <c r="U46" s="178">
        <f>SUM(K46:S46)</f>
        <v>3425255</v>
      </c>
      <c r="V46" s="144"/>
      <c r="W46" s="102">
        <f t="shared" si="2"/>
        <v>0</v>
      </c>
    </row>
    <row r="47" spans="1:23" ht="12.75" customHeight="1">
      <c r="A47" s="23" t="s">
        <v>43</v>
      </c>
      <c r="B47" s="23"/>
      <c r="C47" s="24">
        <v>2180232</v>
      </c>
      <c r="D47" s="144"/>
      <c r="E47" s="24">
        <v>6508343</v>
      </c>
      <c r="F47" s="144"/>
      <c r="G47" s="24">
        <v>1392357</v>
      </c>
      <c r="H47" s="144"/>
      <c r="I47" s="24">
        <v>4082201</v>
      </c>
      <c r="J47" s="144"/>
      <c r="K47" s="24">
        <v>210109</v>
      </c>
      <c r="L47" s="144"/>
      <c r="M47" s="40">
        <v>0</v>
      </c>
      <c r="N47" s="24"/>
      <c r="O47" s="24">
        <v>1371250</v>
      </c>
      <c r="P47" s="144"/>
      <c r="Q47" s="144">
        <v>298405</v>
      </c>
      <c r="R47" s="144"/>
      <c r="S47" s="144">
        <v>546378</v>
      </c>
      <c r="T47" s="144"/>
      <c r="U47" s="178">
        <f t="shared" si="1"/>
        <v>2426142</v>
      </c>
      <c r="V47" s="144"/>
      <c r="W47" s="102">
        <f t="shared" si="2"/>
        <v>0</v>
      </c>
    </row>
    <row r="48" spans="1:23" ht="12.75" customHeight="1">
      <c r="A48" s="23" t="s">
        <v>44</v>
      </c>
      <c r="B48" s="23"/>
      <c r="C48" s="24">
        <v>2661514</v>
      </c>
      <c r="D48" s="144"/>
      <c r="E48" s="24">
        <v>6482260</v>
      </c>
      <c r="F48" s="144"/>
      <c r="G48" s="24">
        <v>2067812</v>
      </c>
      <c r="H48" s="144"/>
      <c r="I48" s="24">
        <v>2699164</v>
      </c>
      <c r="J48" s="144"/>
      <c r="K48" s="24">
        <v>211837</v>
      </c>
      <c r="L48" s="144"/>
      <c r="M48" s="40">
        <v>0</v>
      </c>
      <c r="N48" s="24"/>
      <c r="O48" s="24">
        <v>61258</v>
      </c>
      <c r="P48" s="144"/>
      <c r="Q48" s="144">
        <v>0</v>
      </c>
      <c r="R48" s="144"/>
      <c r="S48" s="144">
        <v>3510001</v>
      </c>
      <c r="T48" s="144"/>
      <c r="U48" s="178">
        <f t="shared" si="1"/>
        <v>3783096</v>
      </c>
      <c r="V48" s="144"/>
      <c r="W48" s="102">
        <f t="shared" si="2"/>
        <v>0</v>
      </c>
    </row>
    <row r="49" spans="1:23" ht="12.75" customHeight="1" hidden="1">
      <c r="A49" s="23" t="s">
        <v>239</v>
      </c>
      <c r="B49" s="23"/>
      <c r="C49" s="24"/>
      <c r="D49" s="144"/>
      <c r="E49" s="24"/>
      <c r="F49" s="144"/>
      <c r="G49" s="24"/>
      <c r="H49" s="144"/>
      <c r="I49" s="24"/>
      <c r="J49" s="144"/>
      <c r="K49" s="24"/>
      <c r="L49" s="144"/>
      <c r="M49" s="40">
        <v>0</v>
      </c>
      <c r="N49" s="24"/>
      <c r="O49" s="24"/>
      <c r="P49" s="144"/>
      <c r="Q49" s="144"/>
      <c r="R49" s="144"/>
      <c r="S49" s="144"/>
      <c r="T49" s="144"/>
      <c r="U49" s="178">
        <f t="shared" si="1"/>
        <v>0</v>
      </c>
      <c r="V49" s="144"/>
      <c r="W49" s="102">
        <f t="shared" si="2"/>
        <v>0</v>
      </c>
    </row>
    <row r="50" spans="1:23" ht="12.75" customHeight="1">
      <c r="A50" s="23" t="s">
        <v>46</v>
      </c>
      <c r="B50" s="23"/>
      <c r="C50" s="24">
        <f>1022042+36775+55000+317249</f>
        <v>1431066</v>
      </c>
      <c r="D50" s="144"/>
      <c r="E50" s="24">
        <v>8464090</v>
      </c>
      <c r="F50" s="144"/>
      <c r="G50" s="24">
        <v>3538774</v>
      </c>
      <c r="H50" s="144"/>
      <c r="I50" s="24">
        <v>3881082</v>
      </c>
      <c r="J50" s="144"/>
      <c r="K50" s="24">
        <f>64486+46574+317249</f>
        <v>428309</v>
      </c>
      <c r="L50" s="144"/>
      <c r="M50" s="40">
        <v>0</v>
      </c>
      <c r="N50" s="24"/>
      <c r="O50" s="24">
        <v>40874</v>
      </c>
      <c r="P50" s="144"/>
      <c r="Q50" s="144">
        <v>0</v>
      </c>
      <c r="R50" s="144"/>
      <c r="S50" s="144">
        <v>4113825</v>
      </c>
      <c r="T50" s="144"/>
      <c r="U50" s="178">
        <f t="shared" si="1"/>
        <v>4583008</v>
      </c>
      <c r="V50" s="144"/>
      <c r="W50" s="102">
        <f t="shared" si="2"/>
        <v>0</v>
      </c>
    </row>
    <row r="51" spans="1:23" ht="12.75" customHeight="1">
      <c r="A51" s="23" t="s">
        <v>47</v>
      </c>
      <c r="B51" s="23"/>
      <c r="C51" s="24">
        <f>2582063+25507</f>
        <v>2607570</v>
      </c>
      <c r="D51" s="144"/>
      <c r="E51" s="24">
        <v>8536022</v>
      </c>
      <c r="F51" s="144"/>
      <c r="G51" s="24">
        <v>4876469</v>
      </c>
      <c r="H51" s="144"/>
      <c r="I51" s="24">
        <v>5410053</v>
      </c>
      <c r="J51" s="144"/>
      <c r="K51" s="24">
        <v>229114</v>
      </c>
      <c r="L51" s="144"/>
      <c r="M51" s="40">
        <v>0</v>
      </c>
      <c r="N51" s="24"/>
      <c r="O51" s="24">
        <v>1531904</v>
      </c>
      <c r="P51" s="144"/>
      <c r="Q51" s="144">
        <v>0</v>
      </c>
      <c r="R51" s="144"/>
      <c r="S51" s="144">
        <v>1364951</v>
      </c>
      <c r="T51" s="144"/>
      <c r="U51" s="178">
        <f t="shared" si="1"/>
        <v>3125969</v>
      </c>
      <c r="V51" s="144"/>
      <c r="W51" s="102">
        <f t="shared" si="2"/>
        <v>0</v>
      </c>
    </row>
    <row r="52" spans="1:23" ht="12.75" customHeight="1" hidden="1">
      <c r="A52" s="23" t="s">
        <v>48</v>
      </c>
      <c r="B52" s="23"/>
      <c r="C52" s="24"/>
      <c r="D52" s="144"/>
      <c r="E52" s="24"/>
      <c r="F52" s="144"/>
      <c r="G52" s="24"/>
      <c r="H52" s="144"/>
      <c r="I52" s="24"/>
      <c r="J52" s="144"/>
      <c r="K52" s="24"/>
      <c r="L52" s="144"/>
      <c r="M52" s="40">
        <v>0</v>
      </c>
      <c r="N52" s="24"/>
      <c r="O52" s="24"/>
      <c r="P52" s="144"/>
      <c r="Q52" s="144"/>
      <c r="R52" s="144"/>
      <c r="S52" s="144"/>
      <c r="T52" s="144"/>
      <c r="U52" s="178">
        <f t="shared" si="1"/>
        <v>0</v>
      </c>
      <c r="V52" s="144"/>
      <c r="W52" s="102">
        <f t="shared" si="2"/>
        <v>0</v>
      </c>
    </row>
    <row r="53" spans="1:23" ht="12.75" customHeight="1" hidden="1">
      <c r="A53" s="23" t="s">
        <v>169</v>
      </c>
      <c r="B53" s="23"/>
      <c r="C53" s="24"/>
      <c r="D53" s="144"/>
      <c r="E53" s="24"/>
      <c r="F53" s="144"/>
      <c r="G53" s="24"/>
      <c r="H53" s="144"/>
      <c r="I53" s="24"/>
      <c r="J53" s="144"/>
      <c r="K53" s="24"/>
      <c r="L53" s="144"/>
      <c r="M53" s="40">
        <v>0</v>
      </c>
      <c r="N53" s="24"/>
      <c r="O53" s="24"/>
      <c r="P53" s="144"/>
      <c r="Q53" s="144"/>
      <c r="R53" s="144"/>
      <c r="S53" s="144"/>
      <c r="T53" s="144"/>
      <c r="U53" s="178">
        <f t="shared" si="1"/>
        <v>0</v>
      </c>
      <c r="V53" s="144"/>
      <c r="W53" s="102">
        <f t="shared" si="2"/>
        <v>0</v>
      </c>
    </row>
    <row r="54" spans="1:23" ht="12.75" customHeight="1">
      <c r="A54" s="23" t="s">
        <v>49</v>
      </c>
      <c r="B54" s="23"/>
      <c r="C54" s="24">
        <v>11692058</v>
      </c>
      <c r="D54" s="144"/>
      <c r="E54" s="24">
        <v>25922742</v>
      </c>
      <c r="F54" s="144"/>
      <c r="G54" s="24">
        <v>9128957</v>
      </c>
      <c r="H54" s="144"/>
      <c r="I54" s="24">
        <v>11068502</v>
      </c>
      <c r="J54" s="144"/>
      <c r="K54" s="24">
        <v>221880</v>
      </c>
      <c r="L54" s="144"/>
      <c r="M54" s="40">
        <v>0</v>
      </c>
      <c r="N54" s="24"/>
      <c r="O54" s="24">
        <v>705744</v>
      </c>
      <c r="P54" s="144"/>
      <c r="Q54" s="144">
        <v>300000</v>
      </c>
      <c r="R54" s="144"/>
      <c r="S54" s="144">
        <v>13626616</v>
      </c>
      <c r="T54" s="144"/>
      <c r="U54" s="178">
        <f t="shared" si="1"/>
        <v>14854240</v>
      </c>
      <c r="V54" s="144"/>
      <c r="W54" s="102">
        <f t="shared" si="2"/>
        <v>0</v>
      </c>
    </row>
    <row r="55" spans="1:23" ht="12.75" customHeight="1">
      <c r="A55" s="23" t="s">
        <v>50</v>
      </c>
      <c r="B55" s="23"/>
      <c r="C55" s="24">
        <v>1971235</v>
      </c>
      <c r="D55" s="144"/>
      <c r="E55" s="24">
        <v>6431963</v>
      </c>
      <c r="F55" s="144"/>
      <c r="G55" s="24">
        <v>3322414</v>
      </c>
      <c r="H55" s="144"/>
      <c r="I55" s="24">
        <v>3881760</v>
      </c>
      <c r="J55" s="144"/>
      <c r="K55" s="24">
        <f>33837+31475+133529+111912+237500</f>
        <v>548253</v>
      </c>
      <c r="L55" s="144"/>
      <c r="M55" s="40">
        <v>0</v>
      </c>
      <c r="N55" s="24"/>
      <c r="O55" s="24">
        <f>197062+463139+631353</f>
        <v>1291554</v>
      </c>
      <c r="P55" s="144"/>
      <c r="Q55" s="144">
        <v>54542</v>
      </c>
      <c r="R55" s="144"/>
      <c r="S55" s="144">
        <v>655854</v>
      </c>
      <c r="T55" s="144"/>
      <c r="U55" s="178">
        <f t="shared" si="1"/>
        <v>2550203</v>
      </c>
      <c r="V55" s="144"/>
      <c r="W55" s="102">
        <f t="shared" si="2"/>
        <v>0</v>
      </c>
    </row>
    <row r="56" spans="1:23" ht="12.75" customHeight="1">
      <c r="A56" s="23" t="s">
        <v>244</v>
      </c>
      <c r="B56" s="23"/>
      <c r="C56" s="24">
        <v>13196102</v>
      </c>
      <c r="D56" s="144"/>
      <c r="E56" s="24">
        <v>37094399</v>
      </c>
      <c r="F56" s="144"/>
      <c r="G56" s="24">
        <v>8952921</v>
      </c>
      <c r="H56" s="144"/>
      <c r="I56" s="24">
        <v>11805379</v>
      </c>
      <c r="J56" s="144"/>
      <c r="K56" s="24">
        <v>213042</v>
      </c>
      <c r="L56" s="144"/>
      <c r="M56" s="40">
        <v>0</v>
      </c>
      <c r="N56" s="24"/>
      <c r="O56" s="24">
        <v>634441</v>
      </c>
      <c r="P56" s="144"/>
      <c r="Q56" s="144">
        <v>9085571</v>
      </c>
      <c r="R56" s="144"/>
      <c r="S56" s="144">
        <v>15355966</v>
      </c>
      <c r="T56" s="144"/>
      <c r="U56" s="178">
        <f t="shared" si="1"/>
        <v>25289020</v>
      </c>
      <c r="V56" s="144"/>
      <c r="W56" s="102">
        <f t="shared" si="2"/>
        <v>0</v>
      </c>
    </row>
    <row r="57" spans="1:23" ht="12.75" customHeight="1">
      <c r="A57" s="23" t="s">
        <v>182</v>
      </c>
      <c r="B57" s="23"/>
      <c r="C57" s="24">
        <f>23966042+2106880</f>
        <v>26072922</v>
      </c>
      <c r="D57" s="144"/>
      <c r="E57" s="24">
        <v>65997990</v>
      </c>
      <c r="F57" s="144"/>
      <c r="G57" s="24">
        <v>12876295</v>
      </c>
      <c r="H57" s="144"/>
      <c r="I57" s="24">
        <v>31495163</v>
      </c>
      <c r="J57" s="144"/>
      <c r="K57" s="24">
        <v>1709192</v>
      </c>
      <c r="L57" s="144"/>
      <c r="M57" s="24">
        <v>281128</v>
      </c>
      <c r="N57" s="24"/>
      <c r="O57" s="24">
        <v>581701</v>
      </c>
      <c r="P57" s="144"/>
      <c r="Q57" s="144">
        <v>4933338</v>
      </c>
      <c r="R57" s="144"/>
      <c r="S57" s="144">
        <v>26997468</v>
      </c>
      <c r="T57" s="144"/>
      <c r="U57" s="178">
        <f t="shared" si="1"/>
        <v>34502827</v>
      </c>
      <c r="V57" s="144"/>
      <c r="W57" s="102">
        <f t="shared" si="2"/>
        <v>0</v>
      </c>
    </row>
    <row r="58" spans="1:23" ht="12.75" customHeight="1" hidden="1">
      <c r="A58" s="23" t="s">
        <v>52</v>
      </c>
      <c r="B58" s="23"/>
      <c r="C58" s="24"/>
      <c r="D58" s="144"/>
      <c r="E58" s="24"/>
      <c r="F58" s="144"/>
      <c r="G58" s="24"/>
      <c r="H58" s="144"/>
      <c r="I58" s="24"/>
      <c r="J58" s="144"/>
      <c r="K58" s="24"/>
      <c r="L58" s="144"/>
      <c r="M58" s="24"/>
      <c r="N58" s="24"/>
      <c r="O58" s="24"/>
      <c r="P58" s="144"/>
      <c r="Q58" s="144"/>
      <c r="R58" s="144"/>
      <c r="S58" s="144"/>
      <c r="T58" s="144"/>
      <c r="U58" s="178">
        <f t="shared" si="1"/>
        <v>0</v>
      </c>
      <c r="V58" s="144"/>
      <c r="W58" s="102">
        <f t="shared" si="2"/>
        <v>0</v>
      </c>
    </row>
    <row r="59" spans="1:23" ht="12.75" customHeight="1">
      <c r="A59" s="23" t="s">
        <v>53</v>
      </c>
      <c r="B59" s="23"/>
      <c r="C59" s="24">
        <f>8017077+375489+2905+732981</f>
        <v>9128452</v>
      </c>
      <c r="D59" s="144"/>
      <c r="E59" s="24">
        <v>28305979</v>
      </c>
      <c r="F59" s="144"/>
      <c r="G59" s="24">
        <v>12928739</v>
      </c>
      <c r="H59" s="144"/>
      <c r="I59" s="24">
        <v>16088269</v>
      </c>
      <c r="J59" s="144"/>
      <c r="K59" s="24">
        <v>732981</v>
      </c>
      <c r="L59" s="144"/>
      <c r="M59" s="24">
        <v>876625</v>
      </c>
      <c r="N59" s="24"/>
      <c r="O59" s="24">
        <v>1312696</v>
      </c>
      <c r="P59" s="144"/>
      <c r="Q59" s="144">
        <v>1116180</v>
      </c>
      <c r="R59" s="144"/>
      <c r="S59" s="144">
        <v>8179228</v>
      </c>
      <c r="T59" s="144"/>
      <c r="U59" s="178">
        <f t="shared" si="1"/>
        <v>12217710</v>
      </c>
      <c r="V59" s="144"/>
      <c r="W59" s="102">
        <f t="shared" si="2"/>
        <v>0</v>
      </c>
    </row>
    <row r="60" spans="1:23" ht="12.75" customHeight="1">
      <c r="A60" s="23" t="s">
        <v>54</v>
      </c>
      <c r="B60" s="23"/>
      <c r="C60" s="24">
        <f>1370852+147111</f>
        <v>1517963</v>
      </c>
      <c r="D60" s="144"/>
      <c r="E60" s="24">
        <v>8411466</v>
      </c>
      <c r="F60" s="144"/>
      <c r="G60" s="24">
        <v>5285734</v>
      </c>
      <c r="H60" s="144"/>
      <c r="I60" s="24">
        <v>5955208</v>
      </c>
      <c r="J60" s="144"/>
      <c r="K60" s="24">
        <v>601012</v>
      </c>
      <c r="L60" s="144"/>
      <c r="M60" s="24">
        <v>0</v>
      </c>
      <c r="N60" s="24"/>
      <c r="O60" s="24">
        <v>747525</v>
      </c>
      <c r="P60" s="144"/>
      <c r="Q60" s="144">
        <v>0</v>
      </c>
      <c r="R60" s="144"/>
      <c r="S60" s="144">
        <v>1107721</v>
      </c>
      <c r="T60" s="144"/>
      <c r="U60" s="178">
        <f t="shared" si="1"/>
        <v>2456258</v>
      </c>
      <c r="V60" s="144"/>
      <c r="W60" s="102">
        <f t="shared" si="2"/>
        <v>0</v>
      </c>
    </row>
    <row r="61" spans="1:23" ht="12.75" customHeight="1">
      <c r="A61" s="23" t="s">
        <v>55</v>
      </c>
      <c r="B61" s="23"/>
      <c r="C61" s="24">
        <f>4154925+48499+52703</f>
        <v>4256127</v>
      </c>
      <c r="D61" s="144"/>
      <c r="E61" s="24">
        <v>21055783</v>
      </c>
      <c r="F61" s="144"/>
      <c r="G61" s="24">
        <v>12173155</v>
      </c>
      <c r="H61" s="144"/>
      <c r="I61" s="24">
        <v>13675248</v>
      </c>
      <c r="J61" s="144"/>
      <c r="K61" s="24">
        <v>145231</v>
      </c>
      <c r="L61" s="144"/>
      <c r="M61" s="24">
        <v>88730</v>
      </c>
      <c r="N61" s="24"/>
      <c r="O61" s="24">
        <v>91494</v>
      </c>
      <c r="P61" s="144"/>
      <c r="Q61" s="144">
        <v>0</v>
      </c>
      <c r="R61" s="144"/>
      <c r="S61" s="144">
        <v>7055080</v>
      </c>
      <c r="T61" s="144"/>
      <c r="U61" s="178">
        <f t="shared" si="1"/>
        <v>7380535</v>
      </c>
      <c r="V61" s="144"/>
      <c r="W61" s="102">
        <f t="shared" si="2"/>
        <v>0</v>
      </c>
    </row>
    <row r="62" spans="1:23" ht="12.75" customHeight="1" hidden="1">
      <c r="A62" s="23" t="s">
        <v>170</v>
      </c>
      <c r="B62" s="23"/>
      <c r="C62" s="24"/>
      <c r="D62" s="144"/>
      <c r="E62" s="24"/>
      <c r="F62" s="144"/>
      <c r="G62" s="24"/>
      <c r="H62" s="144"/>
      <c r="I62" s="24"/>
      <c r="J62" s="144"/>
      <c r="K62" s="24"/>
      <c r="L62" s="144"/>
      <c r="M62" s="24"/>
      <c r="N62" s="24"/>
      <c r="O62" s="24"/>
      <c r="P62" s="144"/>
      <c r="Q62" s="144"/>
      <c r="R62" s="144"/>
      <c r="S62" s="144"/>
      <c r="T62" s="144"/>
      <c r="U62" s="178">
        <f t="shared" si="1"/>
        <v>0</v>
      </c>
      <c r="V62" s="144"/>
      <c r="W62" s="102">
        <f t="shared" si="2"/>
        <v>0</v>
      </c>
    </row>
    <row r="63" spans="1:23" ht="12.75" customHeight="1" hidden="1">
      <c r="A63" s="23" t="s">
        <v>56</v>
      </c>
      <c r="B63" s="23"/>
      <c r="C63" s="24"/>
      <c r="D63" s="144"/>
      <c r="E63" s="24"/>
      <c r="F63" s="144"/>
      <c r="G63" s="24"/>
      <c r="H63" s="144"/>
      <c r="I63" s="24"/>
      <c r="J63" s="144"/>
      <c r="K63" s="24"/>
      <c r="L63" s="144"/>
      <c r="M63" s="24"/>
      <c r="N63" s="24"/>
      <c r="O63" s="24"/>
      <c r="P63" s="144"/>
      <c r="Q63" s="144"/>
      <c r="R63" s="144"/>
      <c r="S63" s="144"/>
      <c r="T63" s="144"/>
      <c r="U63" s="178">
        <f t="shared" si="1"/>
        <v>0</v>
      </c>
      <c r="V63" s="144"/>
      <c r="W63" s="102">
        <f t="shared" si="2"/>
        <v>0</v>
      </c>
    </row>
    <row r="64" spans="1:23" ht="12.75" customHeight="1">
      <c r="A64" s="23" t="s">
        <v>57</v>
      </c>
      <c r="B64" s="23"/>
      <c r="C64" s="24">
        <f>1271343+11118952</f>
        <v>12390295</v>
      </c>
      <c r="D64" s="144"/>
      <c r="E64" s="24">
        <v>21174091</v>
      </c>
      <c r="F64" s="144"/>
      <c r="G64" s="24">
        <v>5770003</v>
      </c>
      <c r="H64" s="144"/>
      <c r="I64" s="24">
        <v>6415246</v>
      </c>
      <c r="J64" s="144"/>
      <c r="K64" s="24">
        <v>608364</v>
      </c>
      <c r="L64" s="144"/>
      <c r="M64" s="24">
        <v>0</v>
      </c>
      <c r="N64" s="24"/>
      <c r="O64" s="24">
        <v>619924</v>
      </c>
      <c r="P64" s="144"/>
      <c r="Q64" s="144">
        <v>0</v>
      </c>
      <c r="R64" s="144"/>
      <c r="S64" s="144">
        <v>13530557</v>
      </c>
      <c r="T64" s="144"/>
      <c r="U64" s="178">
        <f t="shared" si="1"/>
        <v>14758845</v>
      </c>
      <c r="V64" s="144"/>
      <c r="W64" s="102">
        <f t="shared" si="2"/>
        <v>0</v>
      </c>
    </row>
    <row r="65" spans="1:23" ht="12.75" customHeight="1" hidden="1">
      <c r="A65" s="23" t="s">
        <v>58</v>
      </c>
      <c r="B65" s="23"/>
      <c r="C65" s="24"/>
      <c r="D65" s="144"/>
      <c r="E65" s="24"/>
      <c r="F65" s="144"/>
      <c r="G65" s="24"/>
      <c r="H65" s="144"/>
      <c r="I65" s="24"/>
      <c r="J65" s="144"/>
      <c r="K65" s="24"/>
      <c r="L65" s="144"/>
      <c r="M65" s="24"/>
      <c r="N65" s="24"/>
      <c r="O65" s="24"/>
      <c r="P65" s="144"/>
      <c r="Q65" s="144"/>
      <c r="R65" s="144"/>
      <c r="S65" s="144"/>
      <c r="T65" s="144"/>
      <c r="U65" s="178">
        <f t="shared" si="1"/>
        <v>0</v>
      </c>
      <c r="V65" s="144"/>
      <c r="W65" s="102">
        <f t="shared" si="2"/>
        <v>0</v>
      </c>
    </row>
    <row r="66" spans="1:23" ht="12.75" customHeight="1">
      <c r="A66" s="23" t="s">
        <v>59</v>
      </c>
      <c r="B66" s="23"/>
      <c r="C66" s="24">
        <v>44665694</v>
      </c>
      <c r="D66" s="40"/>
      <c r="E66" s="24">
        <v>103819158</v>
      </c>
      <c r="F66" s="40"/>
      <c r="G66" s="24">
        <v>34346997</v>
      </c>
      <c r="H66" s="40"/>
      <c r="I66" s="24">
        <v>38977990</v>
      </c>
      <c r="J66" s="40"/>
      <c r="K66" s="24">
        <v>7858517</v>
      </c>
      <c r="L66" s="40"/>
      <c r="M66" s="24">
        <v>6902224</v>
      </c>
      <c r="N66" s="24"/>
      <c r="O66" s="24">
        <v>0</v>
      </c>
      <c r="P66" s="40"/>
      <c r="Q66" s="40">
        <v>0</v>
      </c>
      <c r="R66" s="40"/>
      <c r="S66" s="40">
        <v>50080427</v>
      </c>
      <c r="T66" s="40"/>
      <c r="U66" s="178">
        <f t="shared" si="1"/>
        <v>64841168</v>
      </c>
      <c r="V66" s="40"/>
      <c r="W66" s="96">
        <f t="shared" si="2"/>
        <v>0</v>
      </c>
    </row>
    <row r="67" spans="1:23" ht="12.75" customHeight="1" hidden="1">
      <c r="A67" s="23" t="s">
        <v>60</v>
      </c>
      <c r="B67" s="23"/>
      <c r="C67" s="24"/>
      <c r="D67" s="40"/>
      <c r="E67" s="24"/>
      <c r="F67" s="40"/>
      <c r="G67" s="24"/>
      <c r="H67" s="40"/>
      <c r="I67" s="24"/>
      <c r="J67" s="40"/>
      <c r="K67" s="24"/>
      <c r="L67" s="40"/>
      <c r="M67" s="24"/>
      <c r="N67" s="24"/>
      <c r="O67" s="24"/>
      <c r="P67" s="40"/>
      <c r="Q67" s="40"/>
      <c r="R67" s="40"/>
      <c r="S67" s="40"/>
      <c r="T67" s="40"/>
      <c r="U67" s="178">
        <f t="shared" si="1"/>
        <v>0</v>
      </c>
      <c r="V67" s="40"/>
      <c r="W67" s="96">
        <f t="shared" si="2"/>
        <v>0</v>
      </c>
    </row>
    <row r="68" spans="1:23" ht="12.75" customHeight="1">
      <c r="A68" s="23" t="s">
        <v>97</v>
      </c>
      <c r="B68" s="23"/>
      <c r="C68" s="24">
        <v>1447941</v>
      </c>
      <c r="D68" s="40"/>
      <c r="E68" s="24">
        <v>4374485</v>
      </c>
      <c r="F68" s="40"/>
      <c r="G68" s="24">
        <v>617388</v>
      </c>
      <c r="H68" s="40"/>
      <c r="I68" s="24">
        <v>2686063</v>
      </c>
      <c r="J68" s="40"/>
      <c r="K68" s="24">
        <v>78073</v>
      </c>
      <c r="L68" s="40"/>
      <c r="M68" s="24">
        <v>0</v>
      </c>
      <c r="N68" s="24"/>
      <c r="O68" s="24">
        <v>360720</v>
      </c>
      <c r="P68" s="40"/>
      <c r="Q68" s="40">
        <v>245853</v>
      </c>
      <c r="R68" s="40"/>
      <c r="S68" s="40">
        <v>1003776</v>
      </c>
      <c r="T68" s="40"/>
      <c r="U68" s="178">
        <f t="shared" si="1"/>
        <v>1688422</v>
      </c>
      <c r="V68" s="40"/>
      <c r="W68" s="96">
        <f t="shared" si="2"/>
        <v>0</v>
      </c>
    </row>
    <row r="69" spans="1:23" ht="12.75" customHeight="1">
      <c r="A69" s="23" t="s">
        <v>61</v>
      </c>
      <c r="B69" s="23"/>
      <c r="C69" s="24">
        <f>3858818+54693</f>
        <v>3913511</v>
      </c>
      <c r="D69" s="40"/>
      <c r="E69" s="24">
        <v>16696763</v>
      </c>
      <c r="F69" s="40"/>
      <c r="G69" s="24">
        <v>9010980</v>
      </c>
      <c r="H69" s="40"/>
      <c r="I69" s="24">
        <v>10877459</v>
      </c>
      <c r="J69" s="40"/>
      <c r="K69" s="24">
        <v>473922</v>
      </c>
      <c r="L69" s="40"/>
      <c r="M69" s="24">
        <v>0</v>
      </c>
      <c r="N69" s="24"/>
      <c r="O69" s="24">
        <v>1581473</v>
      </c>
      <c r="P69" s="40"/>
      <c r="Q69" s="40">
        <v>2696</v>
      </c>
      <c r="R69" s="40"/>
      <c r="S69" s="40">
        <v>3761213</v>
      </c>
      <c r="T69" s="40"/>
      <c r="U69" s="178">
        <f t="shared" si="1"/>
        <v>5819304</v>
      </c>
      <c r="V69" s="40"/>
      <c r="W69" s="96">
        <f t="shared" si="2"/>
        <v>0</v>
      </c>
    </row>
    <row r="70" spans="1:23" ht="12.75" customHeight="1">
      <c r="A70" s="23" t="s">
        <v>62</v>
      </c>
      <c r="B70" s="23"/>
      <c r="C70" s="24">
        <f>919219+99548</f>
        <v>1018767</v>
      </c>
      <c r="D70" s="40"/>
      <c r="E70" s="24">
        <v>2483361</v>
      </c>
      <c r="F70" s="40"/>
      <c r="G70" s="24">
        <v>1132976</v>
      </c>
      <c r="H70" s="40"/>
      <c r="I70" s="24">
        <v>1350889</v>
      </c>
      <c r="J70" s="40"/>
      <c r="K70" s="24">
        <v>155036</v>
      </c>
      <c r="L70" s="40"/>
      <c r="M70" s="24">
        <v>0</v>
      </c>
      <c r="N70" s="24"/>
      <c r="O70" s="24">
        <v>651012</v>
      </c>
      <c r="P70" s="40"/>
      <c r="Q70" s="40">
        <v>0</v>
      </c>
      <c r="R70" s="40"/>
      <c r="S70" s="40">
        <v>326424</v>
      </c>
      <c r="T70" s="40"/>
      <c r="U70" s="178">
        <f t="shared" si="1"/>
        <v>1132472</v>
      </c>
      <c r="V70" s="40"/>
      <c r="W70" s="96">
        <f t="shared" si="2"/>
        <v>0</v>
      </c>
    </row>
    <row r="71" spans="1:23" ht="12.75" customHeight="1" hidden="1">
      <c r="A71" s="23" t="s">
        <v>63</v>
      </c>
      <c r="B71" s="23"/>
      <c r="C71" s="24"/>
      <c r="D71" s="40"/>
      <c r="E71" s="24"/>
      <c r="F71" s="40"/>
      <c r="G71" s="24"/>
      <c r="H71" s="40"/>
      <c r="I71" s="24"/>
      <c r="J71" s="40"/>
      <c r="K71" s="24"/>
      <c r="L71" s="40"/>
      <c r="M71" s="24"/>
      <c r="N71" s="24"/>
      <c r="O71" s="24"/>
      <c r="P71" s="40"/>
      <c r="Q71" s="40"/>
      <c r="R71" s="40"/>
      <c r="S71" s="40"/>
      <c r="T71" s="40"/>
      <c r="U71" s="178">
        <f t="shared" si="1"/>
        <v>0</v>
      </c>
      <c r="V71" s="40"/>
      <c r="W71" s="96">
        <f t="shared" si="2"/>
        <v>0</v>
      </c>
    </row>
    <row r="72" spans="1:23" ht="12.75" customHeight="1" hidden="1">
      <c r="A72" s="23" t="s">
        <v>131</v>
      </c>
      <c r="B72" s="23"/>
      <c r="C72" s="24"/>
      <c r="D72" s="40"/>
      <c r="E72" s="24"/>
      <c r="F72" s="40"/>
      <c r="G72" s="24"/>
      <c r="H72" s="40"/>
      <c r="I72" s="24"/>
      <c r="J72" s="40"/>
      <c r="K72" s="24"/>
      <c r="L72" s="40"/>
      <c r="M72" s="24"/>
      <c r="N72" s="24"/>
      <c r="O72" s="24"/>
      <c r="P72" s="40"/>
      <c r="Q72" s="40"/>
      <c r="R72" s="40"/>
      <c r="S72" s="40"/>
      <c r="T72" s="40"/>
      <c r="U72" s="178">
        <f t="shared" si="1"/>
        <v>0</v>
      </c>
      <c r="V72" s="40"/>
      <c r="W72" s="96">
        <f t="shared" si="2"/>
        <v>0</v>
      </c>
    </row>
    <row r="73" spans="1:23" ht="12.75" customHeight="1" hidden="1">
      <c r="A73" s="23" t="s">
        <v>64</v>
      </c>
      <c r="B73" s="23"/>
      <c r="C73" s="24"/>
      <c r="D73" s="40"/>
      <c r="E73" s="24"/>
      <c r="F73" s="40"/>
      <c r="G73" s="24"/>
      <c r="H73" s="40"/>
      <c r="I73" s="24"/>
      <c r="J73" s="40"/>
      <c r="K73" s="24"/>
      <c r="L73" s="40"/>
      <c r="M73" s="24"/>
      <c r="N73" s="24"/>
      <c r="O73" s="24"/>
      <c r="P73" s="40"/>
      <c r="Q73" s="40"/>
      <c r="R73" s="40"/>
      <c r="S73" s="40"/>
      <c r="T73" s="40"/>
      <c r="U73" s="178">
        <f t="shared" si="1"/>
        <v>0</v>
      </c>
      <c r="V73" s="40"/>
      <c r="W73" s="96">
        <f t="shared" si="2"/>
        <v>0</v>
      </c>
    </row>
    <row r="74" spans="1:23" ht="12.75" customHeight="1">
      <c r="A74" s="23" t="s">
        <v>65</v>
      </c>
      <c r="B74" s="23"/>
      <c r="C74" s="24">
        <f>3147918+68053</f>
        <v>3215971</v>
      </c>
      <c r="D74" s="40"/>
      <c r="E74" s="24">
        <v>8312420</v>
      </c>
      <c r="F74" s="40"/>
      <c r="G74" s="24">
        <v>3112828</v>
      </c>
      <c r="H74" s="40"/>
      <c r="I74" s="24">
        <v>4064148</v>
      </c>
      <c r="J74" s="40"/>
      <c r="K74" s="24">
        <v>198013</v>
      </c>
      <c r="L74" s="40"/>
      <c r="M74" s="24">
        <v>0</v>
      </c>
      <c r="N74" s="24"/>
      <c r="O74" s="24">
        <v>0</v>
      </c>
      <c r="P74" s="40"/>
      <c r="Q74" s="40">
        <v>0</v>
      </c>
      <c r="R74" s="40"/>
      <c r="S74" s="40">
        <v>4050259</v>
      </c>
      <c r="T74" s="40"/>
      <c r="U74" s="178">
        <f t="shared" si="1"/>
        <v>4248272</v>
      </c>
      <c r="V74" s="40"/>
      <c r="W74" s="96">
        <f t="shared" si="2"/>
        <v>0</v>
      </c>
    </row>
    <row r="75" spans="1:23" ht="12.75" customHeight="1">
      <c r="A75" s="23" t="s">
        <v>66</v>
      </c>
      <c r="B75" s="23"/>
      <c r="C75" s="24">
        <f>5079272+38714</f>
        <v>5117986</v>
      </c>
      <c r="D75" s="40"/>
      <c r="E75" s="24">
        <v>7872852</v>
      </c>
      <c r="F75" s="40"/>
      <c r="G75" s="24">
        <v>1950755</v>
      </c>
      <c r="H75" s="40"/>
      <c r="I75" s="24">
        <v>2219370</v>
      </c>
      <c r="J75" s="40"/>
      <c r="K75" s="24">
        <v>0</v>
      </c>
      <c r="L75" s="40"/>
      <c r="M75" s="24">
        <v>250195</v>
      </c>
      <c r="N75" s="24"/>
      <c r="O75" s="24">
        <v>0</v>
      </c>
      <c r="P75" s="40"/>
      <c r="Q75" s="40">
        <v>0</v>
      </c>
      <c r="R75" s="40"/>
      <c r="S75" s="40">
        <v>5403287</v>
      </c>
      <c r="T75" s="40"/>
      <c r="U75" s="178">
        <f t="shared" si="1"/>
        <v>5653482</v>
      </c>
      <c r="V75" s="40"/>
      <c r="W75" s="96">
        <f t="shared" si="2"/>
        <v>0</v>
      </c>
    </row>
    <row r="76" spans="1:23" ht="12.75" customHeight="1">
      <c r="A76" s="23" t="s">
        <v>67</v>
      </c>
      <c r="B76" s="23"/>
      <c r="C76" s="24">
        <f>8419125+222371</f>
        <v>8641496</v>
      </c>
      <c r="D76" s="40"/>
      <c r="E76" s="24">
        <v>26043685</v>
      </c>
      <c r="F76" s="40"/>
      <c r="G76" s="24">
        <v>7703177</v>
      </c>
      <c r="H76" s="40"/>
      <c r="I76" s="24">
        <v>10268122</v>
      </c>
      <c r="J76" s="40"/>
      <c r="K76" s="24">
        <v>1185954</v>
      </c>
      <c r="L76" s="40"/>
      <c r="M76" s="24">
        <v>0</v>
      </c>
      <c r="N76" s="24"/>
      <c r="O76" s="24">
        <v>156105</v>
      </c>
      <c r="P76" s="40"/>
      <c r="Q76" s="40">
        <v>27212</v>
      </c>
      <c r="R76" s="40"/>
      <c r="S76" s="40">
        <v>14406292</v>
      </c>
      <c r="T76" s="40"/>
      <c r="U76" s="178">
        <f>SUM(K76:S76)</f>
        <v>15775563</v>
      </c>
      <c r="V76" s="40"/>
      <c r="W76" s="96">
        <f t="shared" si="2"/>
        <v>0</v>
      </c>
    </row>
    <row r="77" spans="1:23" ht="12.75" customHeight="1">
      <c r="A77" s="23" t="s">
        <v>68</v>
      </c>
      <c r="B77" s="23"/>
      <c r="C77" s="24">
        <f>3667102+2</f>
        <v>3667104</v>
      </c>
      <c r="D77" s="40"/>
      <c r="E77" s="24">
        <v>7306261</v>
      </c>
      <c r="F77" s="40"/>
      <c r="G77" s="24">
        <v>2021392</v>
      </c>
      <c r="H77" s="40"/>
      <c r="I77" s="24">
        <v>2608096</v>
      </c>
      <c r="J77" s="40"/>
      <c r="K77" s="24">
        <v>224229</v>
      </c>
      <c r="L77" s="40"/>
      <c r="M77" s="24">
        <v>0</v>
      </c>
      <c r="N77" s="24"/>
      <c r="O77" s="24">
        <v>122149</v>
      </c>
      <c r="P77" s="40"/>
      <c r="Q77" s="40">
        <v>0</v>
      </c>
      <c r="R77" s="40"/>
      <c r="S77" s="40">
        <v>4351787</v>
      </c>
      <c r="T77" s="40"/>
      <c r="U77" s="178">
        <f>SUM(K77:S77)</f>
        <v>4698165</v>
      </c>
      <c r="V77" s="40"/>
      <c r="W77" s="96">
        <f t="shared" si="2"/>
        <v>0</v>
      </c>
    </row>
    <row r="78" spans="1:23" ht="12.75" customHeight="1">
      <c r="A78" s="23"/>
      <c r="B78" s="23"/>
      <c r="C78" s="24"/>
      <c r="D78" s="40"/>
      <c r="E78" s="24"/>
      <c r="F78" s="40"/>
      <c r="G78" s="24"/>
      <c r="H78" s="40"/>
      <c r="I78" s="24"/>
      <c r="J78" s="40"/>
      <c r="K78" s="24"/>
      <c r="L78" s="40"/>
      <c r="M78" s="24"/>
      <c r="N78" s="24"/>
      <c r="O78" s="24"/>
      <c r="P78" s="40"/>
      <c r="Q78" s="40"/>
      <c r="R78" s="40"/>
      <c r="S78" s="40"/>
      <c r="T78" s="40"/>
      <c r="U78" s="40"/>
      <c r="V78" s="40"/>
      <c r="W78" s="96"/>
    </row>
    <row r="79" spans="1:23" ht="12.75" customHeight="1">
      <c r="A79" s="23"/>
      <c r="B79" s="23"/>
      <c r="C79" s="24"/>
      <c r="D79" s="40"/>
      <c r="E79" s="24"/>
      <c r="F79" s="40"/>
      <c r="G79" s="24"/>
      <c r="H79" s="40"/>
      <c r="I79" s="24"/>
      <c r="J79" s="40"/>
      <c r="K79" s="24"/>
      <c r="L79" s="40"/>
      <c r="M79" s="24"/>
      <c r="N79" s="24"/>
      <c r="O79" s="24"/>
      <c r="P79" s="40"/>
      <c r="Q79" s="40"/>
      <c r="R79" s="40"/>
      <c r="S79" s="40"/>
      <c r="T79" s="40"/>
      <c r="U79" s="40" t="s">
        <v>247</v>
      </c>
      <c r="V79" s="40"/>
      <c r="W79" s="96"/>
    </row>
    <row r="80" spans="1:23" ht="12.75" customHeight="1" hidden="1">
      <c r="A80" s="23" t="s">
        <v>175</v>
      </c>
      <c r="B80" s="23"/>
      <c r="C80" s="24"/>
      <c r="D80" s="40"/>
      <c r="E80" s="24"/>
      <c r="F80" s="40"/>
      <c r="G80" s="24"/>
      <c r="H80" s="40"/>
      <c r="I80" s="24"/>
      <c r="J80" s="40"/>
      <c r="K80" s="24"/>
      <c r="L80" s="40"/>
      <c r="M80" s="24"/>
      <c r="N80" s="24"/>
      <c r="O80" s="24"/>
      <c r="P80" s="40"/>
      <c r="Q80" s="40"/>
      <c r="R80" s="40"/>
      <c r="S80" s="40"/>
      <c r="T80" s="40"/>
      <c r="U80" s="40">
        <f>+M80+K80</f>
        <v>0</v>
      </c>
      <c r="V80" s="40"/>
      <c r="W80" s="96">
        <f aca="true" t="shared" si="3" ref="W80:W99">+E80-I80-U80</f>
        <v>0</v>
      </c>
    </row>
    <row r="81" spans="1:23" ht="12.75" customHeight="1">
      <c r="A81" s="23" t="s">
        <v>177</v>
      </c>
      <c r="B81" s="23"/>
      <c r="C81" s="177">
        <f>1717331+1826</f>
        <v>1719157</v>
      </c>
      <c r="D81" s="179"/>
      <c r="E81" s="177">
        <v>12401614</v>
      </c>
      <c r="F81" s="179"/>
      <c r="G81" s="177">
        <v>8575037</v>
      </c>
      <c r="H81" s="179"/>
      <c r="I81" s="177">
        <v>11510666</v>
      </c>
      <c r="J81" s="179"/>
      <c r="K81" s="177">
        <v>578500</v>
      </c>
      <c r="L81" s="179"/>
      <c r="M81" s="177">
        <v>0</v>
      </c>
      <c r="N81" s="177"/>
      <c r="O81" s="177">
        <v>10890</v>
      </c>
      <c r="P81" s="179"/>
      <c r="Q81" s="179">
        <v>106760</v>
      </c>
      <c r="R81" s="179"/>
      <c r="S81" s="179">
        <v>194798</v>
      </c>
      <c r="T81" s="179"/>
      <c r="U81" s="179">
        <f>SUM(K81:S81)</f>
        <v>890948</v>
      </c>
      <c r="V81" s="40"/>
      <c r="W81" s="96">
        <f t="shared" si="3"/>
        <v>0</v>
      </c>
    </row>
    <row r="82" spans="1:23" ht="12.75" customHeight="1">
      <c r="A82" s="23" t="s">
        <v>69</v>
      </c>
      <c r="B82" s="23"/>
      <c r="C82" s="24">
        <f>4061164+95351</f>
        <v>4156515</v>
      </c>
      <c r="D82" s="40"/>
      <c r="E82" s="24">
        <v>13206881</v>
      </c>
      <c r="F82" s="40"/>
      <c r="G82" s="24">
        <v>2248488</v>
      </c>
      <c r="H82" s="40"/>
      <c r="I82" s="24">
        <v>6491046</v>
      </c>
      <c r="J82" s="40"/>
      <c r="K82" s="24">
        <v>1263648</v>
      </c>
      <c r="L82" s="40"/>
      <c r="M82" s="24">
        <v>0</v>
      </c>
      <c r="N82" s="24"/>
      <c r="O82" s="24">
        <v>639898</v>
      </c>
      <c r="P82" s="40"/>
      <c r="Q82" s="40">
        <v>280120</v>
      </c>
      <c r="R82" s="40"/>
      <c r="S82" s="40">
        <v>4532169</v>
      </c>
      <c r="T82" s="40"/>
      <c r="U82" s="40">
        <f aca="true" t="shared" si="4" ref="U82:U98">SUM(K82:S82)</f>
        <v>6715835</v>
      </c>
      <c r="V82" s="40"/>
      <c r="W82" s="96">
        <f t="shared" si="3"/>
        <v>0</v>
      </c>
    </row>
    <row r="83" spans="1:23" ht="12.75" customHeight="1">
      <c r="A83" s="23" t="s">
        <v>98</v>
      </c>
      <c r="B83" s="23"/>
      <c r="C83" s="24">
        <f>4049181</f>
        <v>4049181</v>
      </c>
      <c r="D83" s="40"/>
      <c r="E83" s="24">
        <v>10585328</v>
      </c>
      <c r="F83" s="40"/>
      <c r="G83" s="24">
        <v>1655543</v>
      </c>
      <c r="H83" s="40"/>
      <c r="I83" s="24">
        <v>5048879</v>
      </c>
      <c r="J83" s="40"/>
      <c r="K83" s="24">
        <v>625431</v>
      </c>
      <c r="L83" s="40"/>
      <c r="M83" s="24">
        <v>21242</v>
      </c>
      <c r="N83" s="24"/>
      <c r="O83" s="24">
        <v>2047090</v>
      </c>
      <c r="P83" s="40"/>
      <c r="Q83" s="40">
        <v>252328</v>
      </c>
      <c r="R83" s="40"/>
      <c r="S83" s="40">
        <v>2590358</v>
      </c>
      <c r="T83" s="40"/>
      <c r="U83" s="40">
        <f t="shared" si="4"/>
        <v>5536449</v>
      </c>
      <c r="V83" s="40"/>
      <c r="W83" s="96">
        <f t="shared" si="3"/>
        <v>0</v>
      </c>
    </row>
    <row r="84" spans="1:23" ht="12.75" customHeight="1">
      <c r="A84" s="23" t="s">
        <v>70</v>
      </c>
      <c r="B84" s="23"/>
      <c r="C84" s="24">
        <f>365022+59556+150319</f>
        <v>574897</v>
      </c>
      <c r="D84" s="40"/>
      <c r="E84" s="24">
        <v>6464018</v>
      </c>
      <c r="F84" s="40"/>
      <c r="G84" s="24">
        <v>3634243</v>
      </c>
      <c r="H84" s="40"/>
      <c r="I84" s="24">
        <v>4865136</v>
      </c>
      <c r="J84" s="40"/>
      <c r="K84" s="24">
        <v>283925</v>
      </c>
      <c r="L84" s="40"/>
      <c r="M84" s="24">
        <v>0</v>
      </c>
      <c r="N84" s="24"/>
      <c r="O84" s="24">
        <v>549881</v>
      </c>
      <c r="P84" s="40"/>
      <c r="Q84" s="40">
        <v>0</v>
      </c>
      <c r="R84" s="40"/>
      <c r="S84" s="40">
        <v>765076</v>
      </c>
      <c r="T84" s="40"/>
      <c r="U84" s="40">
        <f t="shared" si="4"/>
        <v>1598882</v>
      </c>
      <c r="V84" s="40"/>
      <c r="W84" s="96">
        <f t="shared" si="3"/>
        <v>0</v>
      </c>
    </row>
    <row r="85" spans="1:23" ht="12.75" customHeight="1">
      <c r="A85" s="23" t="s">
        <v>71</v>
      </c>
      <c r="B85" s="23"/>
      <c r="C85" s="24">
        <f>2385326+125923</f>
        <v>2511249</v>
      </c>
      <c r="D85" s="40"/>
      <c r="E85" s="24">
        <v>7639557</v>
      </c>
      <c r="F85" s="40"/>
      <c r="G85" s="24">
        <v>1351666</v>
      </c>
      <c r="H85" s="40"/>
      <c r="I85" s="24">
        <v>3829964</v>
      </c>
      <c r="J85" s="40"/>
      <c r="K85" s="24">
        <v>350459</v>
      </c>
      <c r="L85" s="40"/>
      <c r="M85" s="24">
        <v>0</v>
      </c>
      <c r="N85" s="24"/>
      <c r="O85" s="24">
        <v>515728</v>
      </c>
      <c r="P85" s="40"/>
      <c r="Q85" s="40">
        <v>11855</v>
      </c>
      <c r="R85" s="40"/>
      <c r="S85" s="40">
        <v>2931551</v>
      </c>
      <c r="T85" s="40"/>
      <c r="U85" s="40">
        <f t="shared" si="4"/>
        <v>3809593</v>
      </c>
      <c r="V85" s="40"/>
      <c r="W85" s="96">
        <f t="shared" si="3"/>
        <v>0</v>
      </c>
    </row>
    <row r="86" spans="1:23" ht="12.75" customHeight="1">
      <c r="A86" s="23" t="s">
        <v>72</v>
      </c>
      <c r="B86" s="23"/>
      <c r="C86" s="24">
        <f>912042+27678</f>
        <v>939720</v>
      </c>
      <c r="D86" s="40"/>
      <c r="E86" s="24">
        <v>5033865</v>
      </c>
      <c r="F86" s="40"/>
      <c r="G86" s="24">
        <v>3065328</v>
      </c>
      <c r="H86" s="40"/>
      <c r="I86" s="24">
        <v>3783713</v>
      </c>
      <c r="J86" s="40"/>
      <c r="K86" s="24">
        <v>191755</v>
      </c>
      <c r="L86" s="40"/>
      <c r="M86" s="24">
        <v>0</v>
      </c>
      <c r="N86" s="24"/>
      <c r="O86" s="24">
        <v>114020</v>
      </c>
      <c r="P86" s="40"/>
      <c r="Q86" s="40">
        <v>0</v>
      </c>
      <c r="R86" s="40"/>
      <c r="S86" s="40">
        <v>944377</v>
      </c>
      <c r="T86" s="40"/>
      <c r="U86" s="40">
        <f t="shared" si="4"/>
        <v>1250152</v>
      </c>
      <c r="V86" s="40"/>
      <c r="W86" s="96">
        <f t="shared" si="3"/>
        <v>0</v>
      </c>
    </row>
    <row r="87" spans="1:23" ht="12.75" customHeight="1">
      <c r="A87" s="23" t="s">
        <v>73</v>
      </c>
      <c r="B87" s="23"/>
      <c r="C87" s="24">
        <f>15870934+1123052</f>
        <v>16993986</v>
      </c>
      <c r="D87" s="40"/>
      <c r="E87" s="24">
        <v>36216864</v>
      </c>
      <c r="F87" s="40"/>
      <c r="G87" s="24">
        <v>17709601</v>
      </c>
      <c r="H87" s="40"/>
      <c r="I87" s="24">
        <v>20347585</v>
      </c>
      <c r="J87" s="40"/>
      <c r="K87" s="24">
        <v>3127814</v>
      </c>
      <c r="L87" s="40"/>
      <c r="M87" s="24">
        <v>0</v>
      </c>
      <c r="N87" s="24"/>
      <c r="O87" s="24">
        <v>8749254</v>
      </c>
      <c r="P87" s="40"/>
      <c r="Q87" s="40">
        <v>877069</v>
      </c>
      <c r="R87" s="40"/>
      <c r="S87" s="40">
        <v>3115142</v>
      </c>
      <c r="T87" s="40"/>
      <c r="U87" s="40">
        <f t="shared" si="4"/>
        <v>15869279</v>
      </c>
      <c r="V87" s="40"/>
      <c r="W87" s="96">
        <f t="shared" si="3"/>
        <v>0</v>
      </c>
    </row>
    <row r="88" spans="1:23" ht="12.75" customHeight="1">
      <c r="A88" s="23" t="s">
        <v>74</v>
      </c>
      <c r="B88" s="23"/>
      <c r="C88" s="24">
        <f>41150713+715374</f>
        <v>41866087</v>
      </c>
      <c r="D88" s="40"/>
      <c r="E88" s="24">
        <v>83801314</v>
      </c>
      <c r="F88" s="40"/>
      <c r="G88" s="24">
        <v>28225545</v>
      </c>
      <c r="H88" s="40"/>
      <c r="I88" s="24">
        <v>32331967</v>
      </c>
      <c r="J88" s="40"/>
      <c r="K88" s="24">
        <v>1931255</v>
      </c>
      <c r="L88" s="40"/>
      <c r="M88" s="24">
        <v>0</v>
      </c>
      <c r="N88" s="24"/>
      <c r="O88" s="24">
        <v>4267011</v>
      </c>
      <c r="P88" s="40"/>
      <c r="Q88" s="40">
        <v>725174</v>
      </c>
      <c r="R88" s="40"/>
      <c r="S88" s="40">
        <v>44545907</v>
      </c>
      <c r="T88" s="40"/>
      <c r="U88" s="40">
        <f t="shared" si="4"/>
        <v>51469347</v>
      </c>
      <c r="V88" s="40"/>
      <c r="W88" s="96">
        <f t="shared" si="3"/>
        <v>0</v>
      </c>
    </row>
    <row r="89" spans="1:23" ht="12.75" customHeight="1">
      <c r="A89" s="23" t="s">
        <v>75</v>
      </c>
      <c r="B89" s="23"/>
      <c r="C89" s="24">
        <f>2547792+366002+478580</f>
        <v>3392374</v>
      </c>
      <c r="D89" s="40"/>
      <c r="E89" s="24">
        <v>16664040</v>
      </c>
      <c r="F89" s="40"/>
      <c r="G89" s="24">
        <v>9857168</v>
      </c>
      <c r="H89" s="40"/>
      <c r="I89" s="24">
        <v>11433701</v>
      </c>
      <c r="J89" s="40"/>
      <c r="K89" s="24">
        <v>545457</v>
      </c>
      <c r="L89" s="40"/>
      <c r="M89" s="24">
        <v>0</v>
      </c>
      <c r="N89" s="24"/>
      <c r="O89" s="24">
        <v>2017121</v>
      </c>
      <c r="P89" s="40"/>
      <c r="Q89" s="40">
        <v>0</v>
      </c>
      <c r="R89" s="40"/>
      <c r="S89" s="40">
        <v>2667761</v>
      </c>
      <c r="T89" s="40"/>
      <c r="U89" s="40">
        <f t="shared" si="4"/>
        <v>5230339</v>
      </c>
      <c r="V89" s="40"/>
      <c r="W89" s="96">
        <f t="shared" si="3"/>
        <v>0</v>
      </c>
    </row>
    <row r="90" spans="1:23" ht="12.75" customHeight="1">
      <c r="A90" s="23" t="s">
        <v>76</v>
      </c>
      <c r="B90" s="23"/>
      <c r="C90" s="24">
        <f>10606193+126829</f>
        <v>10733022</v>
      </c>
      <c r="D90" s="40"/>
      <c r="E90" s="24">
        <v>20474630</v>
      </c>
      <c r="F90" s="40"/>
      <c r="G90" s="24">
        <v>6119315</v>
      </c>
      <c r="H90" s="40"/>
      <c r="I90" s="24">
        <v>7532566</v>
      </c>
      <c r="J90" s="40"/>
      <c r="K90" s="24">
        <v>1360473</v>
      </c>
      <c r="L90" s="40"/>
      <c r="M90" s="24">
        <v>0</v>
      </c>
      <c r="N90" s="24"/>
      <c r="O90" s="24">
        <v>1005695</v>
      </c>
      <c r="P90" s="40"/>
      <c r="Q90" s="40">
        <v>0</v>
      </c>
      <c r="R90" s="40"/>
      <c r="S90" s="40">
        <v>10575896</v>
      </c>
      <c r="T90" s="40"/>
      <c r="U90" s="40">
        <f t="shared" si="4"/>
        <v>12942064</v>
      </c>
      <c r="V90" s="40"/>
      <c r="W90" s="96">
        <f t="shared" si="3"/>
        <v>0</v>
      </c>
    </row>
    <row r="91" spans="1:23" ht="12.75" customHeight="1">
      <c r="A91" s="23" t="s">
        <v>77</v>
      </c>
      <c r="B91" s="23"/>
      <c r="C91" s="24">
        <f>4907056+607298</f>
        <v>5514354</v>
      </c>
      <c r="D91" s="40"/>
      <c r="E91" s="24">
        <v>13197236</v>
      </c>
      <c r="F91" s="40"/>
      <c r="G91" s="24">
        <v>2120288</v>
      </c>
      <c r="H91" s="40"/>
      <c r="I91" s="24">
        <v>6962524</v>
      </c>
      <c r="J91" s="40"/>
      <c r="K91" s="24">
        <v>617051</v>
      </c>
      <c r="L91" s="40"/>
      <c r="M91" s="24">
        <v>0</v>
      </c>
      <c r="N91" s="24"/>
      <c r="O91" s="24">
        <v>32380</v>
      </c>
      <c r="P91" s="40"/>
      <c r="Q91" s="40">
        <v>168425</v>
      </c>
      <c r="R91" s="40"/>
      <c r="S91" s="40">
        <v>5416856</v>
      </c>
      <c r="T91" s="40"/>
      <c r="U91" s="40">
        <f t="shared" si="4"/>
        <v>6234712</v>
      </c>
      <c r="V91" s="40"/>
      <c r="W91" s="96">
        <f t="shared" si="3"/>
        <v>0</v>
      </c>
    </row>
    <row r="92" spans="1:23" ht="12.75" customHeight="1">
      <c r="A92" s="23" t="s">
        <v>78</v>
      </c>
      <c r="B92" s="23"/>
      <c r="C92" s="24">
        <v>1021968</v>
      </c>
      <c r="D92" s="40"/>
      <c r="E92" s="24">
        <v>3518098</v>
      </c>
      <c r="F92" s="40"/>
      <c r="G92" s="24">
        <v>2069670</v>
      </c>
      <c r="H92" s="40"/>
      <c r="I92" s="24">
        <v>2528024</v>
      </c>
      <c r="J92" s="40"/>
      <c r="K92" s="24">
        <v>47749</v>
      </c>
      <c r="L92" s="40"/>
      <c r="M92" s="24">
        <v>0</v>
      </c>
      <c r="N92" s="24"/>
      <c r="O92" s="24">
        <v>33005</v>
      </c>
      <c r="P92" s="40"/>
      <c r="Q92" s="40">
        <v>0</v>
      </c>
      <c r="R92" s="40"/>
      <c r="S92" s="40">
        <v>909320</v>
      </c>
      <c r="T92" s="40"/>
      <c r="U92" s="40">
        <f t="shared" si="4"/>
        <v>990074</v>
      </c>
      <c r="V92" s="40"/>
      <c r="W92" s="96">
        <f t="shared" si="3"/>
        <v>0</v>
      </c>
    </row>
    <row r="93" spans="1:23" ht="12.75" customHeight="1" hidden="1">
      <c r="A93" s="23" t="s">
        <v>79</v>
      </c>
      <c r="B93" s="23"/>
      <c r="C93" s="24"/>
      <c r="D93" s="40"/>
      <c r="E93" s="24"/>
      <c r="F93" s="40"/>
      <c r="G93" s="24"/>
      <c r="H93" s="40"/>
      <c r="I93" s="24"/>
      <c r="J93" s="40"/>
      <c r="K93" s="24"/>
      <c r="L93" s="40"/>
      <c r="M93" s="24">
        <v>0</v>
      </c>
      <c r="N93" s="24"/>
      <c r="O93" s="24"/>
      <c r="P93" s="40"/>
      <c r="Q93" s="40"/>
      <c r="R93" s="40"/>
      <c r="S93" s="40"/>
      <c r="T93" s="40"/>
      <c r="U93" s="40">
        <f t="shared" si="4"/>
        <v>0</v>
      </c>
      <c r="V93" s="40"/>
      <c r="W93" s="96">
        <f t="shared" si="3"/>
        <v>0</v>
      </c>
    </row>
    <row r="94" spans="1:23" ht="12.75" customHeight="1">
      <c r="A94" s="23" t="s">
        <v>80</v>
      </c>
      <c r="B94" s="23"/>
      <c r="C94" s="24">
        <v>25888211</v>
      </c>
      <c r="D94" s="40"/>
      <c r="E94" s="24">
        <v>48420753</v>
      </c>
      <c r="F94" s="40"/>
      <c r="G94" s="24">
        <v>15935502</v>
      </c>
      <c r="H94" s="40"/>
      <c r="I94" s="24">
        <v>18666943</v>
      </c>
      <c r="J94" s="40"/>
      <c r="K94" s="24">
        <v>260626</v>
      </c>
      <c r="L94" s="40"/>
      <c r="M94" s="24">
        <v>0</v>
      </c>
      <c r="N94" s="24"/>
      <c r="O94" s="24">
        <v>2625739</v>
      </c>
      <c r="P94" s="40"/>
      <c r="Q94" s="40">
        <v>0</v>
      </c>
      <c r="R94" s="40"/>
      <c r="S94" s="40">
        <v>26867445</v>
      </c>
      <c r="T94" s="40"/>
      <c r="U94" s="40">
        <f t="shared" si="4"/>
        <v>29753810</v>
      </c>
      <c r="V94" s="40"/>
      <c r="W94" s="96">
        <f t="shared" si="3"/>
        <v>0</v>
      </c>
    </row>
    <row r="95" spans="1:23" ht="12.75" customHeight="1">
      <c r="A95" s="23" t="s">
        <v>81</v>
      </c>
      <c r="B95" s="23"/>
      <c r="C95" s="24">
        <f>9309135+34076+57451</f>
        <v>9400662</v>
      </c>
      <c r="D95" s="40"/>
      <c r="E95" s="24">
        <v>15836939</v>
      </c>
      <c r="F95" s="40"/>
      <c r="G95" s="24">
        <v>4001951</v>
      </c>
      <c r="H95" s="40"/>
      <c r="I95" s="24">
        <v>4707900</v>
      </c>
      <c r="J95" s="40"/>
      <c r="K95" s="24">
        <v>359489</v>
      </c>
      <c r="L95" s="40"/>
      <c r="M95" s="24">
        <v>0</v>
      </c>
      <c r="N95" s="24"/>
      <c r="O95" s="24">
        <v>2611952</v>
      </c>
      <c r="P95" s="40"/>
      <c r="Q95" s="40">
        <v>0</v>
      </c>
      <c r="R95" s="40"/>
      <c r="S95" s="40">
        <v>8157598</v>
      </c>
      <c r="T95" s="40"/>
      <c r="U95" s="40">
        <f t="shared" si="4"/>
        <v>11129039</v>
      </c>
      <c r="V95" s="40"/>
      <c r="W95" s="96">
        <f t="shared" si="3"/>
        <v>0</v>
      </c>
    </row>
    <row r="96" spans="1:23" ht="12.75" customHeight="1">
      <c r="A96" s="23" t="s">
        <v>82</v>
      </c>
      <c r="B96" s="23"/>
      <c r="C96" s="24">
        <f>6306212+75137</f>
        <v>6381349</v>
      </c>
      <c r="D96" s="40"/>
      <c r="E96" s="24">
        <v>14391607</v>
      </c>
      <c r="F96" s="40"/>
      <c r="G96" s="24">
        <v>5377231</v>
      </c>
      <c r="H96" s="40"/>
      <c r="I96" s="24">
        <v>6525977</v>
      </c>
      <c r="J96" s="40"/>
      <c r="K96" s="24">
        <v>710199</v>
      </c>
      <c r="L96" s="40"/>
      <c r="M96" s="24">
        <v>3277</v>
      </c>
      <c r="N96" s="24"/>
      <c r="O96" s="24">
        <v>735724</v>
      </c>
      <c r="P96" s="40"/>
      <c r="Q96" s="40">
        <v>950700</v>
      </c>
      <c r="R96" s="40"/>
      <c r="S96" s="40">
        <v>5465730</v>
      </c>
      <c r="T96" s="40"/>
      <c r="U96" s="40">
        <f t="shared" si="4"/>
        <v>7865630</v>
      </c>
      <c r="V96" s="40"/>
      <c r="W96" s="96">
        <f t="shared" si="3"/>
        <v>0</v>
      </c>
    </row>
    <row r="97" spans="1:23" ht="12.75" customHeight="1" hidden="1">
      <c r="A97" s="23" t="s">
        <v>173</v>
      </c>
      <c r="B97" s="23"/>
      <c r="C97" s="24"/>
      <c r="D97" s="40"/>
      <c r="E97" s="24"/>
      <c r="F97" s="40"/>
      <c r="G97" s="24"/>
      <c r="H97" s="40"/>
      <c r="I97" s="24"/>
      <c r="J97" s="40"/>
      <c r="K97" s="24"/>
      <c r="L97" s="40"/>
      <c r="M97" s="24"/>
      <c r="N97" s="24"/>
      <c r="O97" s="24"/>
      <c r="P97" s="40"/>
      <c r="Q97" s="40"/>
      <c r="R97" s="40"/>
      <c r="S97" s="40"/>
      <c r="T97" s="40"/>
      <c r="U97" s="40">
        <f t="shared" si="4"/>
        <v>0</v>
      </c>
      <c r="V97" s="40"/>
      <c r="W97" s="96">
        <f t="shared" si="3"/>
        <v>0</v>
      </c>
    </row>
    <row r="98" spans="1:23" ht="12.75" customHeight="1">
      <c r="A98" s="23" t="s">
        <v>83</v>
      </c>
      <c r="B98" s="23"/>
      <c r="C98" s="24">
        <f>19617419+25020+232951</f>
        <v>19875390</v>
      </c>
      <c r="D98" s="40"/>
      <c r="E98" s="24">
        <v>34804622</v>
      </c>
      <c r="F98" s="40"/>
      <c r="G98" s="24">
        <v>10623656</v>
      </c>
      <c r="H98" s="40"/>
      <c r="I98" s="24">
        <v>12564704</v>
      </c>
      <c r="J98" s="40"/>
      <c r="K98" s="24">
        <v>2186934</v>
      </c>
      <c r="L98" s="40"/>
      <c r="M98" s="24">
        <v>0</v>
      </c>
      <c r="N98" s="24"/>
      <c r="O98" s="24">
        <v>2328060</v>
      </c>
      <c r="P98" s="40"/>
      <c r="Q98" s="40">
        <v>0</v>
      </c>
      <c r="R98" s="40"/>
      <c r="S98" s="40">
        <v>17724924</v>
      </c>
      <c r="T98" s="40"/>
      <c r="U98" s="40">
        <f t="shared" si="4"/>
        <v>22239918</v>
      </c>
      <c r="V98" s="40"/>
      <c r="W98" s="96">
        <f t="shared" si="3"/>
        <v>0</v>
      </c>
    </row>
    <row r="99" spans="1:23" ht="12.75" customHeight="1" hidden="1">
      <c r="A99" s="23" t="s">
        <v>174</v>
      </c>
      <c r="B99" s="23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24"/>
      <c r="P99" s="24"/>
      <c r="Q99" s="24"/>
      <c r="R99" s="24"/>
      <c r="S99" s="24"/>
      <c r="T99" s="24"/>
      <c r="U99" s="40">
        <f>+M99+K99</f>
        <v>0</v>
      </c>
      <c r="V99" s="24"/>
      <c r="W99" s="96">
        <f t="shared" si="3"/>
        <v>0</v>
      </c>
    </row>
    <row r="100" spans="1:23" ht="12.75" customHeight="1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96"/>
    </row>
    <row r="101" spans="1:22" ht="12.75" customHeight="1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3"/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sheetProtection/>
  <printOptions/>
  <pageMargins left="0.75" right="0.75" top="0.5" bottom="0.5" header="0" footer="0.25"/>
  <pageSetup firstPageNumber="16" useFirstPageNumber="1" horizontalDpi="600" verticalDpi="600" orientation="portrait" pageOrder="overThenDown" r:id="rId1"/>
  <headerFooter scaleWithDoc="0" alignWithMargins="0">
    <oddFooter>&amp;C&amp;"Times New Roman,Regular"&amp;11&amp;P</oddFooter>
  </headerFooter>
  <rowBreaks count="1" manualBreakCount="1">
    <brk id="79" max="14" man="1"/>
  </rowBreaks>
  <colBreaks count="1" manualBreakCount="1">
    <brk id="12" min="8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101"/>
  <sheetViews>
    <sheetView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4" sqref="A4"/>
    </sheetView>
  </sheetViews>
  <sheetFormatPr defaultColWidth="9.140625" defaultRowHeight="12" customHeight="1"/>
  <cols>
    <col min="1" max="1" width="15.7109375" style="97" customWidth="1"/>
    <col min="2" max="2" width="1.7109375" style="26" customWidth="1"/>
    <col min="3" max="3" width="12.7109375" style="25" customWidth="1"/>
    <col min="4" max="4" width="1.7109375" style="25" customWidth="1"/>
    <col min="5" max="5" width="12.7109375" style="25" customWidth="1"/>
    <col min="6" max="6" width="1.7109375" style="25" customWidth="1"/>
    <col min="7" max="7" width="12.7109375" style="25" customWidth="1"/>
    <col min="8" max="8" width="1.7109375" style="25" customWidth="1"/>
    <col min="9" max="9" width="12.7109375" style="25" customWidth="1"/>
    <col min="10" max="10" width="1.7109375" style="25" customWidth="1"/>
    <col min="11" max="11" width="12.7109375" style="25" customWidth="1"/>
    <col min="12" max="12" width="1.7109375" style="25" hidden="1" customWidth="1"/>
    <col min="13" max="13" width="12.7109375" style="25" customWidth="1"/>
    <col min="14" max="14" width="1.7109375" style="25" customWidth="1"/>
    <col min="15" max="15" width="12.7109375" style="25" customWidth="1"/>
    <col min="16" max="16" width="1.7109375" style="25" customWidth="1"/>
    <col min="17" max="17" width="12.7109375" style="25" customWidth="1"/>
    <col min="18" max="18" width="1.7109375" style="25" customWidth="1"/>
    <col min="19" max="19" width="12.7109375" style="25" customWidth="1"/>
    <col min="20" max="20" width="1.7109375" style="25" customWidth="1"/>
    <col min="21" max="21" width="12.7109375" style="25" customWidth="1"/>
    <col min="22" max="22" width="9.28125" style="26" bestFit="1" customWidth="1"/>
    <col min="24" max="25" width="0" style="26" hidden="1" customWidth="1"/>
    <col min="26" max="26" width="3.140625" style="26" hidden="1" customWidth="1"/>
    <col min="27" max="27" width="17.7109375" style="97" bestFit="1" customWidth="1"/>
    <col min="28" max="16384" width="9.140625" style="26" customWidth="1"/>
  </cols>
  <sheetData>
    <row r="1" spans="1:22" ht="12.75" customHeight="1">
      <c r="A1" s="57" t="s">
        <v>233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7"/>
    </row>
    <row r="2" spans="1:22" ht="12.75" customHeight="1">
      <c r="A2" s="57" t="s">
        <v>251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7"/>
    </row>
    <row r="3" spans="1:22" ht="12.75" customHeight="1">
      <c r="A3" s="49"/>
      <c r="B3" s="59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9"/>
    </row>
    <row r="4" spans="1:22" ht="12.75" customHeight="1">
      <c r="A4" s="49" t="s">
        <v>183</v>
      </c>
      <c r="B4" s="19"/>
      <c r="C4" s="21"/>
      <c r="D4" s="21"/>
      <c r="E4" s="21"/>
      <c r="F4" s="21"/>
      <c r="G4" s="21"/>
      <c r="H4" s="21"/>
      <c r="I4" s="21"/>
      <c r="J4" s="21"/>
      <c r="V4" s="36"/>
    </row>
    <row r="5" spans="1:22" ht="12.75" customHeight="1">
      <c r="A5" s="49"/>
      <c r="B5" s="19"/>
      <c r="C5" s="21"/>
      <c r="D5" s="21"/>
      <c r="E5" s="21"/>
      <c r="F5" s="21"/>
      <c r="G5" s="21"/>
      <c r="H5" s="21"/>
      <c r="I5" s="21"/>
      <c r="J5" s="21"/>
      <c r="V5" s="36"/>
    </row>
    <row r="6" spans="1:22" ht="12.75" customHeight="1">
      <c r="A6" s="49"/>
      <c r="B6" s="19"/>
      <c r="C6" s="21"/>
      <c r="D6" s="21"/>
      <c r="E6" s="21"/>
      <c r="F6" s="21"/>
      <c r="G6" s="21"/>
      <c r="H6" s="21"/>
      <c r="I6" s="21"/>
      <c r="J6" s="21"/>
      <c r="K6" s="20"/>
      <c r="L6" s="20"/>
      <c r="M6" s="20"/>
      <c r="N6" s="20"/>
      <c r="O6" s="175" t="s">
        <v>253</v>
      </c>
      <c r="P6" s="20"/>
      <c r="Q6" s="20"/>
      <c r="R6" s="20"/>
      <c r="S6" s="20"/>
      <c r="T6" s="21"/>
      <c r="U6" s="21" t="s">
        <v>4</v>
      </c>
      <c r="V6" s="36"/>
    </row>
    <row r="7" spans="1:27" ht="12.75" customHeight="1">
      <c r="A7" s="19"/>
      <c r="B7" s="19"/>
      <c r="C7" s="21" t="s">
        <v>117</v>
      </c>
      <c r="D7" s="21"/>
      <c r="E7" s="21" t="s">
        <v>4</v>
      </c>
      <c r="F7" s="21"/>
      <c r="G7" s="21" t="s">
        <v>118</v>
      </c>
      <c r="H7" s="21"/>
      <c r="I7" s="21" t="s">
        <v>4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 t="s">
        <v>119</v>
      </c>
      <c r="V7" s="36"/>
      <c r="AA7" s="28" t="s">
        <v>205</v>
      </c>
    </row>
    <row r="8" spans="1:27" s="60" customFormat="1" ht="12.75" customHeight="1">
      <c r="A8" s="22" t="s">
        <v>5</v>
      </c>
      <c r="B8" s="19"/>
      <c r="C8" s="20" t="s">
        <v>120</v>
      </c>
      <c r="D8" s="21"/>
      <c r="E8" s="20" t="s">
        <v>116</v>
      </c>
      <c r="F8" s="21"/>
      <c r="G8" s="20" t="s">
        <v>11</v>
      </c>
      <c r="H8" s="21"/>
      <c r="I8" s="20" t="s">
        <v>121</v>
      </c>
      <c r="J8" s="21"/>
      <c r="K8" s="175" t="s">
        <v>254</v>
      </c>
      <c r="L8" s="21"/>
      <c r="M8" s="175" t="s">
        <v>141</v>
      </c>
      <c r="N8" s="21"/>
      <c r="O8" s="175" t="s">
        <v>255</v>
      </c>
      <c r="P8" s="21"/>
      <c r="Q8" s="175" t="s">
        <v>256</v>
      </c>
      <c r="R8" s="21"/>
      <c r="S8" s="175" t="s">
        <v>257</v>
      </c>
      <c r="T8" s="21"/>
      <c r="U8" s="20" t="s">
        <v>122</v>
      </c>
      <c r="V8" s="36"/>
      <c r="AA8" s="98"/>
    </row>
    <row r="9" spans="1:27" s="60" customFormat="1" ht="12.75" customHeight="1">
      <c r="A9" s="19"/>
      <c r="B9" s="1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36"/>
      <c r="AA9" s="98"/>
    </row>
    <row r="10" spans="1:27" ht="12.75" customHeight="1" hidden="1">
      <c r="A10" s="89" t="s">
        <v>235</v>
      </c>
      <c r="B10" s="19"/>
      <c r="C10" s="61">
        <v>10799954</v>
      </c>
      <c r="D10" s="61"/>
      <c r="E10" s="61">
        <v>11134180</v>
      </c>
      <c r="F10" s="61"/>
      <c r="G10" s="61">
        <v>0</v>
      </c>
      <c r="H10" s="61"/>
      <c r="I10" s="61">
        <v>0</v>
      </c>
      <c r="J10" s="61"/>
      <c r="K10" s="61"/>
      <c r="L10" s="61"/>
      <c r="M10" s="61">
        <v>9929334</v>
      </c>
      <c r="N10" s="61"/>
      <c r="O10" s="61">
        <v>296773</v>
      </c>
      <c r="P10" s="61"/>
      <c r="Q10" s="61"/>
      <c r="R10" s="61"/>
      <c r="S10" s="61">
        <v>908073</v>
      </c>
      <c r="T10" s="61"/>
      <c r="U10" s="61">
        <f>SUM(K10:S10)</f>
        <v>11134180</v>
      </c>
      <c r="V10" s="40"/>
      <c r="AA10" s="96">
        <f aca="true" t="shared" si="0" ref="AA10:AA41">+E10-I10-U10</f>
        <v>0</v>
      </c>
    </row>
    <row r="11" spans="1:27" ht="12.75" customHeight="1">
      <c r="A11" s="23" t="s">
        <v>13</v>
      </c>
      <c r="B11" s="23"/>
      <c r="C11" s="61">
        <f>38302801+558824+84563</f>
        <v>38946188</v>
      </c>
      <c r="D11" s="61"/>
      <c r="E11" s="61">
        <v>69092072</v>
      </c>
      <c r="F11" s="61"/>
      <c r="G11" s="61">
        <v>23972816</v>
      </c>
      <c r="H11" s="61"/>
      <c r="I11" s="61">
        <v>28718046</v>
      </c>
      <c r="J11" s="61"/>
      <c r="K11" s="61">
        <v>3946385</v>
      </c>
      <c r="L11" s="61"/>
      <c r="M11" s="61">
        <v>28587806</v>
      </c>
      <c r="N11" s="61"/>
      <c r="O11" s="61">
        <v>2538578</v>
      </c>
      <c r="P11" s="61"/>
      <c r="Q11" s="61">
        <v>1776111</v>
      </c>
      <c r="R11" s="61"/>
      <c r="S11" s="61">
        <v>3519412</v>
      </c>
      <c r="T11" s="61"/>
      <c r="U11" s="61">
        <f>SUM(K11:S11)</f>
        <v>40368292</v>
      </c>
      <c r="V11" s="40"/>
      <c r="AA11" s="96">
        <f t="shared" si="0"/>
        <v>5734</v>
      </c>
    </row>
    <row r="12" spans="1:27" ht="12.75" customHeight="1">
      <c r="A12" s="23" t="s">
        <v>14</v>
      </c>
      <c r="B12" s="23"/>
      <c r="C12" s="40">
        <f>16167800+34349</f>
        <v>16202149</v>
      </c>
      <c r="D12" s="40"/>
      <c r="E12" s="40">
        <v>30232623</v>
      </c>
      <c r="F12" s="40"/>
      <c r="G12" s="40">
        <v>11425369</v>
      </c>
      <c r="H12" s="40"/>
      <c r="I12" s="40">
        <v>13272044</v>
      </c>
      <c r="J12" s="40"/>
      <c r="K12" s="40">
        <v>745579</v>
      </c>
      <c r="L12" s="40"/>
      <c r="M12" s="40">
        <v>14336561</v>
      </c>
      <c r="N12" s="40"/>
      <c r="O12" s="40">
        <v>213709</v>
      </c>
      <c r="P12" s="40"/>
      <c r="Q12" s="40">
        <v>18057</v>
      </c>
      <c r="R12" s="40"/>
      <c r="S12" s="40">
        <v>1646673</v>
      </c>
      <c r="T12" s="40"/>
      <c r="U12" s="178">
        <f aca="true" t="shared" si="1" ref="U12:U75">SUM(K12:S12)</f>
        <v>16960579</v>
      </c>
      <c r="V12" s="40"/>
      <c r="AA12" s="96">
        <f t="shared" si="0"/>
        <v>0</v>
      </c>
    </row>
    <row r="13" spans="1:27" ht="12.75" customHeight="1">
      <c r="A13" s="23" t="s">
        <v>15</v>
      </c>
      <c r="B13" s="23"/>
      <c r="C13" s="40">
        <f>35286451+431475+1058731</f>
        <v>36776657</v>
      </c>
      <c r="D13" s="40"/>
      <c r="E13" s="40">
        <v>66795294</v>
      </c>
      <c r="F13" s="40"/>
      <c r="G13" s="40">
        <v>22035740</v>
      </c>
      <c r="H13" s="40"/>
      <c r="I13" s="40">
        <v>26962215</v>
      </c>
      <c r="J13" s="40"/>
      <c r="K13" s="40">
        <v>2944883</v>
      </c>
      <c r="L13" s="40"/>
      <c r="M13" s="40">
        <v>31083737</v>
      </c>
      <c r="N13" s="40"/>
      <c r="O13" s="40">
        <v>443829</v>
      </c>
      <c r="P13" s="40"/>
      <c r="Q13" s="40">
        <v>536999</v>
      </c>
      <c r="R13" s="40"/>
      <c r="S13" s="40">
        <v>4823631</v>
      </c>
      <c r="T13" s="40"/>
      <c r="U13" s="178">
        <f t="shared" si="1"/>
        <v>39833079</v>
      </c>
      <c r="V13" s="40"/>
      <c r="AA13" s="96">
        <f t="shared" si="0"/>
        <v>0</v>
      </c>
    </row>
    <row r="14" spans="1:27" ht="12.75" customHeight="1" hidden="1">
      <c r="A14" s="23" t="s">
        <v>16</v>
      </c>
      <c r="B14" s="23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178">
        <f t="shared" si="1"/>
        <v>0</v>
      </c>
      <c r="V14" s="40"/>
      <c r="AA14" s="96">
        <f t="shared" si="0"/>
        <v>0</v>
      </c>
    </row>
    <row r="15" spans="1:27" ht="12.75" customHeight="1">
      <c r="A15" s="23" t="s">
        <v>17</v>
      </c>
      <c r="B15" s="23"/>
      <c r="C15" s="40">
        <f>17583506+3284229</f>
        <v>20867735</v>
      </c>
      <c r="D15" s="40"/>
      <c r="E15" s="40">
        <v>38081259</v>
      </c>
      <c r="F15" s="40"/>
      <c r="G15" s="40">
        <v>10176924</v>
      </c>
      <c r="H15" s="40"/>
      <c r="I15" s="40">
        <v>14528588</v>
      </c>
      <c r="J15" s="40"/>
      <c r="K15" s="40">
        <f>622760+211842+721093+2326196</f>
        <v>3881891</v>
      </c>
      <c r="L15" s="40"/>
      <c r="M15" s="40">
        <f>209405+331997+825969+721518+4772642+6355863</f>
        <v>13217394</v>
      </c>
      <c r="N15" s="40"/>
      <c r="O15" s="40">
        <v>935677</v>
      </c>
      <c r="P15" s="40"/>
      <c r="Q15" s="40">
        <f>1183746+556657-1636454</f>
        <v>103949</v>
      </c>
      <c r="R15" s="40"/>
      <c r="S15" s="40">
        <v>5413760</v>
      </c>
      <c r="T15" s="40"/>
      <c r="U15" s="178">
        <f t="shared" si="1"/>
        <v>23552671</v>
      </c>
      <c r="V15" s="40"/>
      <c r="AA15" s="96">
        <f t="shared" si="0"/>
        <v>0</v>
      </c>
    </row>
    <row r="16" spans="1:27" ht="12.75" customHeight="1">
      <c r="A16" s="23" t="s">
        <v>18</v>
      </c>
      <c r="B16" s="23"/>
      <c r="C16" s="40">
        <f>28334752+10515</f>
        <v>28345267</v>
      </c>
      <c r="D16" s="40"/>
      <c r="E16" s="40">
        <v>52943519</v>
      </c>
      <c r="F16" s="40"/>
      <c r="G16" s="40">
        <v>16821635</v>
      </c>
      <c r="H16" s="40"/>
      <c r="I16" s="40">
        <v>19627234</v>
      </c>
      <c r="J16" s="40"/>
      <c r="K16" s="40">
        <f>589878+162421+671680+67304</f>
        <v>1491283</v>
      </c>
      <c r="L16" s="40"/>
      <c r="M16" s="40">
        <f>185234+965578+10371250+439669+2003653+922622+3239512+1226668+914641+1009641+1348693+2511535</f>
        <v>25138696</v>
      </c>
      <c r="N16" s="40"/>
      <c r="O16" s="40">
        <f>69477+1539031</f>
        <v>1608508</v>
      </c>
      <c r="P16" s="40"/>
      <c r="Q16" s="40">
        <v>1914474</v>
      </c>
      <c r="R16" s="40"/>
      <c r="S16" s="40">
        <v>3163324</v>
      </c>
      <c r="T16" s="40"/>
      <c r="U16" s="178">
        <f t="shared" si="1"/>
        <v>33316285</v>
      </c>
      <c r="V16" s="40"/>
      <c r="AA16" s="96">
        <f t="shared" si="0"/>
        <v>0</v>
      </c>
    </row>
    <row r="17" spans="1:27" ht="12.75" customHeight="1" hidden="1">
      <c r="A17" s="23" t="s">
        <v>238</v>
      </c>
      <c r="B17" s="23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178">
        <f t="shared" si="1"/>
        <v>0</v>
      </c>
      <c r="V17" s="40"/>
      <c r="AA17" s="96">
        <f t="shared" si="0"/>
        <v>0</v>
      </c>
    </row>
    <row r="18" spans="1:27" ht="12.75" customHeight="1">
      <c r="A18" s="23" t="s">
        <v>246</v>
      </c>
      <c r="B18" s="23"/>
      <c r="C18" s="40">
        <f>122405128+659701+4402102</f>
        <v>127466931</v>
      </c>
      <c r="D18" s="40"/>
      <c r="E18" s="40">
        <v>262406310</v>
      </c>
      <c r="F18" s="40"/>
      <c r="G18" s="40">
        <v>119457172</v>
      </c>
      <c r="H18" s="40"/>
      <c r="I18" s="40">
        <v>151758975</v>
      </c>
      <c r="J18" s="40"/>
      <c r="K18" s="40">
        <v>4560966</v>
      </c>
      <c r="L18" s="40"/>
      <c r="M18" s="40">
        <v>108941964</v>
      </c>
      <c r="N18" s="40"/>
      <c r="O18" s="40">
        <v>1888809</v>
      </c>
      <c r="P18" s="40"/>
      <c r="Q18" s="40">
        <v>372607</v>
      </c>
      <c r="R18" s="40"/>
      <c r="S18" s="40">
        <v>-5117011</v>
      </c>
      <c r="T18" s="40"/>
      <c r="U18" s="178">
        <f t="shared" si="1"/>
        <v>110647335</v>
      </c>
      <c r="V18" s="40"/>
      <c r="AA18" s="96">
        <f t="shared" si="0"/>
        <v>0</v>
      </c>
    </row>
    <row r="19" spans="1:27" ht="12.75" customHeight="1">
      <c r="A19" s="23" t="s">
        <v>20</v>
      </c>
      <c r="B19" s="23"/>
      <c r="C19" s="40">
        <f>10164838+147322</f>
        <v>10312160</v>
      </c>
      <c r="D19" s="40"/>
      <c r="E19" s="40">
        <v>18495447</v>
      </c>
      <c r="F19" s="40"/>
      <c r="G19" s="40">
        <v>2263184</v>
      </c>
      <c r="H19" s="40"/>
      <c r="I19" s="40">
        <v>8347028</v>
      </c>
      <c r="J19" s="40"/>
      <c r="K19" s="40">
        <v>522173</v>
      </c>
      <c r="L19" s="40"/>
      <c r="M19" s="40">
        <v>7410202</v>
      </c>
      <c r="N19" s="40"/>
      <c r="O19" s="40">
        <v>532160</v>
      </c>
      <c r="P19" s="40"/>
      <c r="Q19" s="40">
        <v>634727</v>
      </c>
      <c r="R19" s="40"/>
      <c r="S19" s="40">
        <v>1049157</v>
      </c>
      <c r="T19" s="40"/>
      <c r="U19" s="178">
        <f t="shared" si="1"/>
        <v>10148419</v>
      </c>
      <c r="V19" s="40"/>
      <c r="AA19" s="96">
        <f t="shared" si="0"/>
        <v>0</v>
      </c>
    </row>
    <row r="20" spans="1:27" ht="12.75" customHeight="1" hidden="1">
      <c r="A20" s="23" t="s">
        <v>171</v>
      </c>
      <c r="B20" s="23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178">
        <f t="shared" si="1"/>
        <v>0</v>
      </c>
      <c r="V20" s="40"/>
      <c r="AA20" s="96">
        <f t="shared" si="0"/>
        <v>0</v>
      </c>
    </row>
    <row r="21" spans="1:27" ht="12.75" customHeight="1">
      <c r="A21" s="23" t="s">
        <v>21</v>
      </c>
      <c r="B21" s="23"/>
      <c r="C21" s="40">
        <f>37276473+389062+6199</f>
        <v>37671734</v>
      </c>
      <c r="D21" s="40"/>
      <c r="E21" s="40">
        <v>104293908</v>
      </c>
      <c r="F21" s="40"/>
      <c r="G21" s="40">
        <v>54705098</v>
      </c>
      <c r="H21" s="40"/>
      <c r="I21" s="40">
        <v>62954818</v>
      </c>
      <c r="J21" s="40"/>
      <c r="K21" s="40">
        <v>1764143</v>
      </c>
      <c r="L21" s="40"/>
      <c r="M21" s="40">
        <v>29399873</v>
      </c>
      <c r="N21" s="40"/>
      <c r="O21" s="40">
        <v>1124930</v>
      </c>
      <c r="P21" s="40"/>
      <c r="Q21" s="40">
        <v>0</v>
      </c>
      <c r="R21" s="40"/>
      <c r="S21" s="40">
        <v>9050144</v>
      </c>
      <c r="T21" s="40"/>
      <c r="U21" s="178">
        <f t="shared" si="1"/>
        <v>41339090</v>
      </c>
      <c r="V21" s="40"/>
      <c r="AA21" s="96">
        <f t="shared" si="0"/>
        <v>0</v>
      </c>
    </row>
    <row r="22" spans="1:27" ht="12.75" customHeight="1">
      <c r="A22" s="23" t="s">
        <v>180</v>
      </c>
      <c r="B22" s="23"/>
      <c r="C22" s="40">
        <v>52699743</v>
      </c>
      <c r="D22" s="40"/>
      <c r="E22" s="40">
        <v>114898913</v>
      </c>
      <c r="F22" s="40"/>
      <c r="G22" s="40">
        <v>57172968</v>
      </c>
      <c r="H22" s="40"/>
      <c r="I22" s="40">
        <v>63076823</v>
      </c>
      <c r="J22" s="40"/>
      <c r="K22" s="40">
        <f>805080+394792</f>
        <v>1199872</v>
      </c>
      <c r="L22" s="40"/>
      <c r="M22" s="40">
        <f>509878+5565389+3936563+4051874+3831096+313788+5005244+2249936</f>
        <v>25463768</v>
      </c>
      <c r="N22" s="40"/>
      <c r="O22" s="40">
        <f>877764+4054846+2023059+9152+39210+284157+180685+7630449</f>
        <v>15099322</v>
      </c>
      <c r="P22" s="40"/>
      <c r="Q22" s="40">
        <v>0</v>
      </c>
      <c r="R22" s="40"/>
      <c r="S22" s="40">
        <v>10059128</v>
      </c>
      <c r="T22" s="40"/>
      <c r="U22" s="178">
        <f t="shared" si="1"/>
        <v>51822090</v>
      </c>
      <c r="V22" s="40"/>
      <c r="AA22" s="96">
        <f t="shared" si="0"/>
        <v>0</v>
      </c>
    </row>
    <row r="23" spans="1:27" ht="12.75" customHeight="1">
      <c r="A23" s="23" t="s">
        <v>22</v>
      </c>
      <c r="B23" s="23"/>
      <c r="C23" s="40">
        <f>31390688+15000607+528878</f>
        <v>46920173</v>
      </c>
      <c r="D23" s="40"/>
      <c r="E23" s="40">
        <v>76210158</v>
      </c>
      <c r="F23" s="40"/>
      <c r="G23" s="40">
        <v>19949647</v>
      </c>
      <c r="H23" s="40"/>
      <c r="I23" s="40">
        <v>28159771</v>
      </c>
      <c r="J23" s="40"/>
      <c r="K23" s="40">
        <v>117301</v>
      </c>
      <c r="L23" s="40"/>
      <c r="M23" s="40">
        <v>14739024</v>
      </c>
      <c r="N23" s="40"/>
      <c r="O23" s="40">
        <v>602388</v>
      </c>
      <c r="P23" s="40"/>
      <c r="Q23" s="40">
        <v>12901317</v>
      </c>
      <c r="R23" s="40"/>
      <c r="S23" s="40">
        <v>19690357</v>
      </c>
      <c r="T23" s="40"/>
      <c r="U23" s="178">
        <f t="shared" si="1"/>
        <v>48050387</v>
      </c>
      <c r="V23" s="40"/>
      <c r="AA23" s="96">
        <f t="shared" si="0"/>
        <v>0</v>
      </c>
    </row>
    <row r="24" spans="1:27" ht="12.75" customHeight="1" hidden="1">
      <c r="A24" s="23" t="s">
        <v>23</v>
      </c>
      <c r="B24" s="23"/>
      <c r="C24" s="40">
        <f>35543663+2846725</f>
        <v>38390388</v>
      </c>
      <c r="D24" s="40"/>
      <c r="E24" s="40">
        <v>38390388</v>
      </c>
      <c r="F24" s="40"/>
      <c r="G24" s="40"/>
      <c r="H24" s="40"/>
      <c r="I24" s="40"/>
      <c r="J24" s="40"/>
      <c r="K24" s="40">
        <v>320880</v>
      </c>
      <c r="L24" s="40"/>
      <c r="M24" s="40">
        <v>35109322</v>
      </c>
      <c r="N24" s="40"/>
      <c r="O24" s="40">
        <v>1192959</v>
      </c>
      <c r="P24" s="40"/>
      <c r="Q24" s="40">
        <v>464547</v>
      </c>
      <c r="R24" s="40"/>
      <c r="S24" s="40">
        <v>1302680</v>
      </c>
      <c r="T24" s="40"/>
      <c r="U24" s="178">
        <f t="shared" si="1"/>
        <v>38390388</v>
      </c>
      <c r="V24" s="40"/>
      <c r="AA24" s="96">
        <f t="shared" si="0"/>
        <v>0</v>
      </c>
    </row>
    <row r="25" spans="1:27" ht="12.75" customHeight="1">
      <c r="A25" s="23" t="s">
        <v>24</v>
      </c>
      <c r="B25" s="23"/>
      <c r="C25" s="40">
        <f>11074110+1581505</f>
        <v>12655615</v>
      </c>
      <c r="D25" s="40"/>
      <c r="E25" s="40">
        <v>24769383</v>
      </c>
      <c r="F25" s="40"/>
      <c r="G25" s="40">
        <v>3898704</v>
      </c>
      <c r="H25" s="40"/>
      <c r="I25" s="40">
        <v>12032445</v>
      </c>
      <c r="J25" s="40"/>
      <c r="K25" s="40">
        <v>526945</v>
      </c>
      <c r="L25" s="40"/>
      <c r="M25" s="40">
        <v>8335110</v>
      </c>
      <c r="N25" s="40"/>
      <c r="O25" s="40">
        <v>1849155</v>
      </c>
      <c r="P25" s="40"/>
      <c r="Q25" s="40">
        <v>1892806</v>
      </c>
      <c r="R25" s="40"/>
      <c r="S25" s="40">
        <v>132922</v>
      </c>
      <c r="T25" s="40"/>
      <c r="U25" s="178">
        <f t="shared" si="1"/>
        <v>12736938</v>
      </c>
      <c r="V25" s="40"/>
      <c r="AA25" s="96">
        <f t="shared" si="0"/>
        <v>0</v>
      </c>
    </row>
    <row r="26" spans="1:27" ht="12.75" customHeight="1">
      <c r="A26" s="23" t="s">
        <v>241</v>
      </c>
      <c r="B26" s="23"/>
      <c r="C26" s="40">
        <v>17372262</v>
      </c>
      <c r="D26" s="40"/>
      <c r="E26" s="40">
        <v>33148908</v>
      </c>
      <c r="F26" s="40"/>
      <c r="G26" s="40">
        <v>12207141</v>
      </c>
      <c r="H26" s="40"/>
      <c r="I26" s="40">
        <v>14860192</v>
      </c>
      <c r="J26" s="40"/>
      <c r="K26" s="40">
        <v>539353</v>
      </c>
      <c r="L26" s="40"/>
      <c r="M26" s="40">
        <v>14593520</v>
      </c>
      <c r="N26" s="40"/>
      <c r="O26" s="40">
        <v>261850</v>
      </c>
      <c r="P26" s="40"/>
      <c r="Q26" s="40">
        <v>69572</v>
      </c>
      <c r="R26" s="40"/>
      <c r="S26" s="40">
        <v>2824421</v>
      </c>
      <c r="T26" s="40"/>
      <c r="U26" s="178">
        <f t="shared" si="1"/>
        <v>18288716</v>
      </c>
      <c r="V26" s="40"/>
      <c r="AA26" s="96">
        <f t="shared" si="0"/>
        <v>0</v>
      </c>
    </row>
    <row r="27" spans="1:27" ht="12.75" customHeight="1" hidden="1">
      <c r="A27" s="23" t="s">
        <v>25</v>
      </c>
      <c r="B27" s="2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78">
        <f t="shared" si="1"/>
        <v>0</v>
      </c>
      <c r="V27" s="40"/>
      <c r="AA27" s="96">
        <f t="shared" si="0"/>
        <v>0</v>
      </c>
    </row>
    <row r="28" spans="1:27" ht="12.75" customHeight="1" hidden="1">
      <c r="A28" s="23" t="s">
        <v>26</v>
      </c>
      <c r="B28" s="23"/>
      <c r="C28" s="40">
        <v>17688818</v>
      </c>
      <c r="D28" s="40"/>
      <c r="E28" s="40">
        <v>17688818</v>
      </c>
      <c r="F28" s="40"/>
      <c r="G28" s="40"/>
      <c r="H28" s="40"/>
      <c r="I28" s="40"/>
      <c r="J28" s="40"/>
      <c r="K28" s="40">
        <v>67953</v>
      </c>
      <c r="L28" s="40"/>
      <c r="M28" s="40">
        <v>13593888</v>
      </c>
      <c r="N28" s="40"/>
      <c r="O28" s="40">
        <v>394014</v>
      </c>
      <c r="P28" s="40"/>
      <c r="Q28" s="40">
        <v>342712</v>
      </c>
      <c r="R28" s="40"/>
      <c r="S28" s="40">
        <v>3290251</v>
      </c>
      <c r="T28" s="40"/>
      <c r="U28" s="178">
        <f t="shared" si="1"/>
        <v>17688818</v>
      </c>
      <c r="V28" s="40"/>
      <c r="AA28" s="96">
        <f t="shared" si="0"/>
        <v>0</v>
      </c>
    </row>
    <row r="29" spans="1:27" ht="12.75" customHeight="1">
      <c r="A29" s="23" t="s">
        <v>27</v>
      </c>
      <c r="B29" s="23"/>
      <c r="C29" s="40">
        <f>24500261+3628</f>
        <v>24503889</v>
      </c>
      <c r="D29" s="40"/>
      <c r="E29" s="40">
        <v>44554385</v>
      </c>
      <c r="F29" s="40"/>
      <c r="G29" s="40">
        <v>6453963</v>
      </c>
      <c r="H29" s="40"/>
      <c r="I29" s="40">
        <v>17809283</v>
      </c>
      <c r="J29" s="40"/>
      <c r="K29" s="40">
        <v>6635247</v>
      </c>
      <c r="L29" s="40"/>
      <c r="M29" s="40">
        <v>10313508</v>
      </c>
      <c r="N29" s="40"/>
      <c r="O29" s="40">
        <v>8483642</v>
      </c>
      <c r="P29" s="40"/>
      <c r="Q29" s="40">
        <v>2064292</v>
      </c>
      <c r="R29" s="40"/>
      <c r="S29" s="40">
        <v>-751587</v>
      </c>
      <c r="T29" s="40"/>
      <c r="U29" s="178">
        <f t="shared" si="1"/>
        <v>26745102</v>
      </c>
      <c r="V29" s="40"/>
      <c r="AA29" s="96">
        <f t="shared" si="0"/>
        <v>0</v>
      </c>
    </row>
    <row r="30" spans="1:27" ht="12.75" customHeight="1">
      <c r="A30" s="23" t="s">
        <v>28</v>
      </c>
      <c r="B30" s="23"/>
      <c r="C30" s="40">
        <f>85085936+254710</f>
        <v>85340646</v>
      </c>
      <c r="D30" s="40"/>
      <c r="E30" s="40">
        <v>143166807</v>
      </c>
      <c r="F30" s="40"/>
      <c r="G30" s="40">
        <v>42382775</v>
      </c>
      <c r="H30" s="40"/>
      <c r="I30" s="40">
        <v>48951473</v>
      </c>
      <c r="J30" s="40"/>
      <c r="K30" s="40">
        <v>3317392</v>
      </c>
      <c r="L30" s="40"/>
      <c r="M30" s="40">
        <v>55339560</v>
      </c>
      <c r="N30" s="40"/>
      <c r="O30" s="40">
        <v>18191866</v>
      </c>
      <c r="P30" s="40"/>
      <c r="Q30" s="40">
        <v>96126</v>
      </c>
      <c r="R30" s="40"/>
      <c r="S30" s="40">
        <v>17270390</v>
      </c>
      <c r="T30" s="40"/>
      <c r="U30" s="178">
        <f t="shared" si="1"/>
        <v>94215334</v>
      </c>
      <c r="V30" s="40"/>
      <c r="AA30" s="96">
        <f t="shared" si="0"/>
        <v>0</v>
      </c>
    </row>
    <row r="31" spans="1:27" ht="12.75" customHeight="1">
      <c r="A31" s="23" t="s">
        <v>29</v>
      </c>
      <c r="B31" s="23"/>
      <c r="C31" s="40">
        <f>29970479+1126538</f>
        <v>31097017</v>
      </c>
      <c r="D31" s="40"/>
      <c r="E31" s="40">
        <v>56740008</v>
      </c>
      <c r="F31" s="40"/>
      <c r="G31" s="40">
        <v>20273969</v>
      </c>
      <c r="H31" s="40"/>
      <c r="I31" s="40">
        <v>26498342</v>
      </c>
      <c r="J31" s="40"/>
      <c r="K31" s="40">
        <v>1368216</v>
      </c>
      <c r="L31" s="40"/>
      <c r="M31" s="40">
        <v>22957661</v>
      </c>
      <c r="N31" s="40"/>
      <c r="O31" s="40">
        <v>291393</v>
      </c>
      <c r="P31" s="40"/>
      <c r="Q31" s="40">
        <v>320791</v>
      </c>
      <c r="R31" s="40"/>
      <c r="S31" s="40">
        <v>5303605</v>
      </c>
      <c r="T31" s="40"/>
      <c r="U31" s="178">
        <f t="shared" si="1"/>
        <v>30241666</v>
      </c>
      <c r="V31" s="40"/>
      <c r="AA31" s="96">
        <f t="shared" si="0"/>
        <v>0</v>
      </c>
    </row>
    <row r="32" spans="1:27" ht="12.75" customHeight="1">
      <c r="A32" s="23" t="s">
        <v>30</v>
      </c>
      <c r="B32" s="23"/>
      <c r="C32" s="40">
        <f>50663514+93688+169945</f>
        <v>50927147</v>
      </c>
      <c r="D32" s="40"/>
      <c r="E32" s="40">
        <v>100983497</v>
      </c>
      <c r="F32" s="40"/>
      <c r="G32" s="40">
        <v>39235097</v>
      </c>
      <c r="H32" s="40"/>
      <c r="I32" s="40">
        <v>48314617</v>
      </c>
      <c r="J32" s="40"/>
      <c r="K32" s="40">
        <v>2542654</v>
      </c>
      <c r="L32" s="40"/>
      <c r="M32" s="40">
        <v>35393317</v>
      </c>
      <c r="N32" s="40"/>
      <c r="O32" s="40">
        <v>6764231</v>
      </c>
      <c r="P32" s="40"/>
      <c r="Q32" s="40">
        <v>2305935</v>
      </c>
      <c r="R32" s="40"/>
      <c r="S32" s="40">
        <v>5662763</v>
      </c>
      <c r="T32" s="40"/>
      <c r="U32" s="178">
        <f t="shared" si="1"/>
        <v>52668900</v>
      </c>
      <c r="V32" s="40"/>
      <c r="AA32" s="96">
        <f t="shared" si="0"/>
        <v>-20</v>
      </c>
    </row>
    <row r="33" spans="1:27" ht="12.75" customHeight="1" hidden="1">
      <c r="A33" s="23" t="s">
        <v>237</v>
      </c>
      <c r="B33" s="2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78">
        <f t="shared" si="1"/>
        <v>0</v>
      </c>
      <c r="V33" s="40"/>
      <c r="AA33" s="96">
        <f t="shared" si="0"/>
        <v>0</v>
      </c>
    </row>
    <row r="34" spans="1:27" ht="12.75" customHeight="1">
      <c r="A34" s="23" t="s">
        <v>32</v>
      </c>
      <c r="B34" s="23"/>
      <c r="C34" s="40">
        <f>766267000+2252000</f>
        <v>768519000</v>
      </c>
      <c r="D34" s="40"/>
      <c r="E34" s="40">
        <v>1390054000</v>
      </c>
      <c r="F34" s="40"/>
      <c r="G34" s="40">
        <v>127221000</v>
      </c>
      <c r="H34" s="40"/>
      <c r="I34" s="40">
        <v>618799000</v>
      </c>
      <c r="J34" s="40"/>
      <c r="K34" s="40">
        <v>4174000</v>
      </c>
      <c r="L34" s="40"/>
      <c r="M34" s="40">
        <v>557861000</v>
      </c>
      <c r="N34" s="40"/>
      <c r="O34" s="40">
        <v>12502000</v>
      </c>
      <c r="P34" s="40"/>
      <c r="Q34" s="40">
        <v>3023000</v>
      </c>
      <c r="R34" s="40"/>
      <c r="S34" s="40">
        <v>193695000</v>
      </c>
      <c r="T34" s="40"/>
      <c r="U34" s="178">
        <f t="shared" si="1"/>
        <v>771255000</v>
      </c>
      <c r="V34" s="40"/>
      <c r="AA34" s="96">
        <f t="shared" si="0"/>
        <v>0</v>
      </c>
    </row>
    <row r="35" spans="1:27" ht="12.75" customHeight="1">
      <c r="A35" s="23" t="s">
        <v>33</v>
      </c>
      <c r="B35" s="23"/>
      <c r="C35" s="40">
        <f>28526287+57207</f>
        <v>28583494</v>
      </c>
      <c r="D35" s="40"/>
      <c r="E35" s="40">
        <v>43235222</v>
      </c>
      <c r="F35" s="40"/>
      <c r="G35" s="40">
        <v>4034865</v>
      </c>
      <c r="H35" s="40"/>
      <c r="I35" s="40">
        <v>12300686</v>
      </c>
      <c r="J35" s="40"/>
      <c r="K35" s="40">
        <v>633182</v>
      </c>
      <c r="L35" s="40"/>
      <c r="M35" s="40">
        <v>24047365</v>
      </c>
      <c r="N35" s="40"/>
      <c r="O35" s="40">
        <v>139873</v>
      </c>
      <c r="P35" s="40"/>
      <c r="Q35" s="40">
        <v>0</v>
      </c>
      <c r="R35" s="40"/>
      <c r="S35" s="40">
        <v>6114116</v>
      </c>
      <c r="T35" s="40"/>
      <c r="U35" s="178">
        <f t="shared" si="1"/>
        <v>30934536</v>
      </c>
      <c r="V35" s="40"/>
      <c r="AA35" s="96">
        <f t="shared" si="0"/>
        <v>0</v>
      </c>
    </row>
    <row r="36" spans="1:27" ht="12.75" customHeight="1">
      <c r="A36" s="23" t="s">
        <v>34</v>
      </c>
      <c r="B36" s="23"/>
      <c r="C36" s="40">
        <f>4670809+32027+118598+19634+185247</f>
        <v>5026315</v>
      </c>
      <c r="D36" s="40"/>
      <c r="E36" s="40">
        <v>16338757</v>
      </c>
      <c r="F36" s="40"/>
      <c r="G36" s="40">
        <v>8099428</v>
      </c>
      <c r="H36" s="40"/>
      <c r="I36" s="40">
        <v>9711883</v>
      </c>
      <c r="J36" s="40"/>
      <c r="K36" s="40">
        <v>960574</v>
      </c>
      <c r="L36" s="40"/>
      <c r="M36" s="40">
        <v>4518901</v>
      </c>
      <c r="N36" s="40"/>
      <c r="O36" s="40">
        <v>2920</v>
      </c>
      <c r="P36" s="40"/>
      <c r="Q36" s="40">
        <v>182289</v>
      </c>
      <c r="R36" s="40"/>
      <c r="S36" s="40">
        <v>962190</v>
      </c>
      <c r="T36" s="40"/>
      <c r="U36" s="178">
        <f t="shared" si="1"/>
        <v>6626874</v>
      </c>
      <c r="V36" s="40"/>
      <c r="AA36" s="96">
        <f t="shared" si="0"/>
        <v>0</v>
      </c>
    </row>
    <row r="37" spans="1:27" ht="12.75" customHeight="1">
      <c r="A37" s="23" t="s">
        <v>35</v>
      </c>
      <c r="B37" s="23"/>
      <c r="C37" s="40">
        <v>38840198</v>
      </c>
      <c r="D37" s="40"/>
      <c r="E37" s="40">
        <v>81440347</v>
      </c>
      <c r="F37" s="40"/>
      <c r="G37" s="40">
        <v>37146917</v>
      </c>
      <c r="H37" s="40"/>
      <c r="I37" s="40">
        <v>42658909</v>
      </c>
      <c r="J37" s="40"/>
      <c r="K37" s="40">
        <v>490688</v>
      </c>
      <c r="L37" s="40"/>
      <c r="M37" s="40">
        <v>30572585</v>
      </c>
      <c r="N37" s="40"/>
      <c r="O37" s="40">
        <v>682338</v>
      </c>
      <c r="P37" s="40"/>
      <c r="Q37" s="40">
        <v>1204011</v>
      </c>
      <c r="R37" s="40"/>
      <c r="S37" s="40">
        <v>5831816</v>
      </c>
      <c r="T37" s="40"/>
      <c r="U37" s="178">
        <f t="shared" si="1"/>
        <v>38781438</v>
      </c>
      <c r="V37" s="40"/>
      <c r="AA37" s="96">
        <f t="shared" si="0"/>
        <v>0</v>
      </c>
    </row>
    <row r="38" spans="1:27" ht="12.75" customHeight="1">
      <c r="A38" s="23" t="s">
        <v>225</v>
      </c>
      <c r="B38" s="23"/>
      <c r="C38" s="40">
        <v>78320591</v>
      </c>
      <c r="D38" s="40"/>
      <c r="E38" s="40">
        <v>138331502</v>
      </c>
      <c r="F38" s="40"/>
      <c r="G38" s="40">
        <v>53198028</v>
      </c>
      <c r="H38" s="40"/>
      <c r="I38" s="40">
        <v>57509869</v>
      </c>
      <c r="J38" s="40"/>
      <c r="K38" s="40">
        <v>318493</v>
      </c>
      <c r="L38" s="40"/>
      <c r="M38" s="144">
        <v>57059668</v>
      </c>
      <c r="N38" s="40"/>
      <c r="O38" s="40">
        <v>0</v>
      </c>
      <c r="P38" s="40"/>
      <c r="Q38" s="40">
        <v>2615440</v>
      </c>
      <c r="R38" s="40"/>
      <c r="S38" s="40">
        <v>20828032</v>
      </c>
      <c r="T38" s="40"/>
      <c r="U38" s="178">
        <f t="shared" si="1"/>
        <v>80821633</v>
      </c>
      <c r="V38" s="40"/>
      <c r="AA38" s="96">
        <f t="shared" si="0"/>
        <v>0</v>
      </c>
    </row>
    <row r="39" spans="1:27" ht="12.75" customHeight="1" hidden="1">
      <c r="A39" s="23" t="s">
        <v>242</v>
      </c>
      <c r="B39" s="23"/>
      <c r="C39" s="24"/>
      <c r="D39" s="40"/>
      <c r="E39" s="24"/>
      <c r="F39" s="40"/>
      <c r="G39" s="24"/>
      <c r="H39" s="40"/>
      <c r="I39" s="24"/>
      <c r="J39" s="40"/>
      <c r="K39" s="24"/>
      <c r="L39" s="40"/>
      <c r="M39" s="24"/>
      <c r="N39" s="40"/>
      <c r="O39" s="40"/>
      <c r="P39" s="40"/>
      <c r="Q39" s="40"/>
      <c r="R39" s="40"/>
      <c r="S39" s="40"/>
      <c r="T39" s="40"/>
      <c r="U39" s="178">
        <f t="shared" si="1"/>
        <v>0</v>
      </c>
      <c r="V39" s="40"/>
      <c r="AA39" s="96">
        <f t="shared" si="0"/>
        <v>0</v>
      </c>
    </row>
    <row r="40" spans="1:27" ht="12.75" customHeight="1" hidden="1">
      <c r="A40" s="23" t="s">
        <v>37</v>
      </c>
      <c r="B40" s="23"/>
      <c r="C40" s="24"/>
      <c r="D40" s="40"/>
      <c r="E40" s="24"/>
      <c r="F40" s="40"/>
      <c r="G40" s="24"/>
      <c r="H40" s="40"/>
      <c r="I40" s="24"/>
      <c r="J40" s="40"/>
      <c r="K40" s="24"/>
      <c r="L40" s="40"/>
      <c r="M40" s="24"/>
      <c r="N40" s="40"/>
      <c r="O40" s="40"/>
      <c r="P40" s="40"/>
      <c r="Q40" s="40"/>
      <c r="R40" s="40"/>
      <c r="S40" s="40"/>
      <c r="T40" s="40"/>
      <c r="U40" s="178">
        <f t="shared" si="1"/>
        <v>0</v>
      </c>
      <c r="V40" s="40"/>
      <c r="AA40" s="96">
        <f t="shared" si="0"/>
        <v>0</v>
      </c>
    </row>
    <row r="41" spans="1:27" ht="12.75" customHeight="1">
      <c r="A41" s="23" t="s">
        <v>38</v>
      </c>
      <c r="B41" s="23"/>
      <c r="C41" s="24">
        <f>37833205+136295</f>
        <v>37969500</v>
      </c>
      <c r="D41" s="40"/>
      <c r="E41" s="24">
        <v>62516914</v>
      </c>
      <c r="F41" s="40"/>
      <c r="G41" s="24">
        <v>10868193</v>
      </c>
      <c r="H41" s="40"/>
      <c r="I41" s="24">
        <v>25376197</v>
      </c>
      <c r="J41" s="40"/>
      <c r="K41" s="24">
        <v>1085263</v>
      </c>
      <c r="L41" s="40"/>
      <c r="M41" s="24">
        <v>24220819</v>
      </c>
      <c r="N41" s="40"/>
      <c r="O41" s="40">
        <v>3952488</v>
      </c>
      <c r="P41" s="40"/>
      <c r="Q41" s="40">
        <v>4428692</v>
      </c>
      <c r="R41" s="40"/>
      <c r="S41" s="40">
        <v>3453455</v>
      </c>
      <c r="T41" s="40"/>
      <c r="U41" s="178">
        <f t="shared" si="1"/>
        <v>37140717</v>
      </c>
      <c r="V41" s="40"/>
      <c r="AA41" s="96">
        <f t="shared" si="0"/>
        <v>0</v>
      </c>
    </row>
    <row r="42" spans="1:27" ht="12.75" customHeight="1" hidden="1">
      <c r="A42" s="23" t="s">
        <v>167</v>
      </c>
      <c r="B42" s="23"/>
      <c r="C42" s="24"/>
      <c r="D42" s="40"/>
      <c r="E42" s="24"/>
      <c r="F42" s="40"/>
      <c r="G42" s="24"/>
      <c r="H42" s="40"/>
      <c r="I42" s="24"/>
      <c r="J42" s="40"/>
      <c r="K42" s="24"/>
      <c r="L42" s="40"/>
      <c r="M42" s="24"/>
      <c r="N42" s="40"/>
      <c r="O42" s="40"/>
      <c r="P42" s="40"/>
      <c r="Q42" s="40"/>
      <c r="R42" s="40"/>
      <c r="S42" s="40"/>
      <c r="T42" s="40"/>
      <c r="U42" s="178">
        <f t="shared" si="1"/>
        <v>0</v>
      </c>
      <c r="V42" s="40"/>
      <c r="AA42" s="96">
        <f aca="true" t="shared" si="2" ref="AA42:AA73">+E42-I42-U42</f>
        <v>0</v>
      </c>
    </row>
    <row r="43" spans="1:27" ht="12.75" customHeight="1" hidden="1">
      <c r="A43" s="23" t="s">
        <v>39</v>
      </c>
      <c r="B43" s="23"/>
      <c r="C43" s="24"/>
      <c r="D43" s="40"/>
      <c r="E43" s="24"/>
      <c r="F43" s="40"/>
      <c r="G43" s="24"/>
      <c r="H43" s="40"/>
      <c r="I43" s="24"/>
      <c r="J43" s="40"/>
      <c r="K43" s="24"/>
      <c r="L43" s="40"/>
      <c r="M43" s="24"/>
      <c r="N43" s="40"/>
      <c r="O43" s="40"/>
      <c r="P43" s="40"/>
      <c r="Q43" s="40"/>
      <c r="R43" s="40"/>
      <c r="S43" s="40"/>
      <c r="T43" s="40"/>
      <c r="U43" s="178">
        <f t="shared" si="1"/>
        <v>0</v>
      </c>
      <c r="V43" s="40"/>
      <c r="AA43" s="96">
        <f t="shared" si="2"/>
        <v>0</v>
      </c>
    </row>
    <row r="44" spans="1:27" ht="12.75" customHeight="1">
      <c r="A44" s="23" t="s">
        <v>40</v>
      </c>
      <c r="B44" s="23"/>
      <c r="C44" s="24">
        <f>16787219+34337</f>
        <v>16821556</v>
      </c>
      <c r="D44" s="40"/>
      <c r="E44" s="24">
        <v>30482515</v>
      </c>
      <c r="F44" s="40"/>
      <c r="G44" s="24">
        <v>4320190</v>
      </c>
      <c r="H44" s="40"/>
      <c r="I44" s="24">
        <v>11045394</v>
      </c>
      <c r="J44" s="40"/>
      <c r="K44" s="24">
        <v>389869</v>
      </c>
      <c r="L44" s="40"/>
      <c r="M44" s="24">
        <v>12777270</v>
      </c>
      <c r="N44" s="40"/>
      <c r="O44" s="40">
        <v>25564</v>
      </c>
      <c r="P44" s="40"/>
      <c r="Q44" s="40">
        <v>367973</v>
      </c>
      <c r="R44" s="40"/>
      <c r="S44" s="40">
        <v>5876445</v>
      </c>
      <c r="T44" s="40"/>
      <c r="U44" s="178">
        <f t="shared" si="1"/>
        <v>19437121</v>
      </c>
      <c r="V44" s="40"/>
      <c r="AA44" s="96">
        <f t="shared" si="2"/>
        <v>0</v>
      </c>
    </row>
    <row r="45" spans="1:27" ht="12.75" customHeight="1" hidden="1">
      <c r="A45" s="23" t="s">
        <v>41</v>
      </c>
      <c r="B45" s="23"/>
      <c r="C45" s="24"/>
      <c r="D45" s="40"/>
      <c r="E45" s="24"/>
      <c r="F45" s="40"/>
      <c r="G45" s="24"/>
      <c r="H45" s="40"/>
      <c r="I45" s="24"/>
      <c r="J45" s="40"/>
      <c r="K45" s="24"/>
      <c r="L45" s="40"/>
      <c r="M45" s="24"/>
      <c r="N45" s="40"/>
      <c r="O45" s="40"/>
      <c r="P45" s="40"/>
      <c r="Q45" s="40"/>
      <c r="R45" s="40"/>
      <c r="S45" s="40"/>
      <c r="T45" s="40"/>
      <c r="U45" s="178">
        <f t="shared" si="1"/>
        <v>0</v>
      </c>
      <c r="V45" s="40"/>
      <c r="AA45" s="96">
        <f t="shared" si="2"/>
        <v>0</v>
      </c>
    </row>
    <row r="46" spans="1:27" ht="12.75" customHeight="1">
      <c r="A46" s="23" t="s">
        <v>42</v>
      </c>
      <c r="B46" s="23"/>
      <c r="C46" s="24">
        <v>12220215</v>
      </c>
      <c r="D46" s="144"/>
      <c r="E46" s="24">
        <v>22360024</v>
      </c>
      <c r="F46" s="144"/>
      <c r="G46" s="24">
        <v>7296618</v>
      </c>
      <c r="H46" s="144"/>
      <c r="I46" s="24">
        <v>9130627</v>
      </c>
      <c r="J46" s="144"/>
      <c r="K46" s="24">
        <v>413827</v>
      </c>
      <c r="L46" s="144"/>
      <c r="M46" s="24">
        <v>9708653</v>
      </c>
      <c r="N46" s="144"/>
      <c r="O46" s="144">
        <v>106188</v>
      </c>
      <c r="P46" s="144"/>
      <c r="Q46" s="144">
        <v>0</v>
      </c>
      <c r="R46" s="144"/>
      <c r="S46" s="144">
        <v>3000729</v>
      </c>
      <c r="T46" s="144"/>
      <c r="U46" s="178">
        <f t="shared" si="1"/>
        <v>13229397</v>
      </c>
      <c r="V46" s="40"/>
      <c r="AA46" s="96">
        <f t="shared" si="2"/>
        <v>0</v>
      </c>
    </row>
    <row r="47" spans="1:27" ht="12.75" customHeight="1">
      <c r="A47" s="23" t="s">
        <v>43</v>
      </c>
      <c r="B47" s="23"/>
      <c r="C47" s="24">
        <f>13575701+12516</f>
        <v>13588217</v>
      </c>
      <c r="D47" s="144"/>
      <c r="E47" s="24">
        <v>25293024</v>
      </c>
      <c r="F47" s="144"/>
      <c r="G47" s="24">
        <v>3756876</v>
      </c>
      <c r="H47" s="144"/>
      <c r="I47" s="24">
        <v>10797952</v>
      </c>
      <c r="J47" s="144"/>
      <c r="K47" s="24">
        <v>927008</v>
      </c>
      <c r="L47" s="144"/>
      <c r="M47" s="24">
        <v>11170478</v>
      </c>
      <c r="N47" s="144"/>
      <c r="O47" s="144">
        <v>1371250</v>
      </c>
      <c r="P47" s="144"/>
      <c r="Q47" s="144">
        <v>491491</v>
      </c>
      <c r="R47" s="144"/>
      <c r="S47" s="144">
        <v>534845</v>
      </c>
      <c r="T47" s="144"/>
      <c r="U47" s="178">
        <f t="shared" si="1"/>
        <v>14495072</v>
      </c>
      <c r="V47" s="40"/>
      <c r="AA47" s="96">
        <f t="shared" si="2"/>
        <v>0</v>
      </c>
    </row>
    <row r="48" spans="1:27" ht="12.75" customHeight="1">
      <c r="A48" s="23" t="s">
        <v>44</v>
      </c>
      <c r="B48" s="23"/>
      <c r="C48" s="24">
        <f>14790726+12974</f>
        <v>14803700</v>
      </c>
      <c r="D48" s="144"/>
      <c r="E48" s="24">
        <v>26017011</v>
      </c>
      <c r="F48" s="144"/>
      <c r="G48" s="24">
        <v>7595845</v>
      </c>
      <c r="H48" s="144"/>
      <c r="I48" s="24">
        <v>10248781</v>
      </c>
      <c r="J48" s="144"/>
      <c r="K48" s="24">
        <v>1164549</v>
      </c>
      <c r="L48" s="144"/>
      <c r="M48" s="24">
        <v>11076070</v>
      </c>
      <c r="N48" s="144"/>
      <c r="O48" s="144">
        <v>61258</v>
      </c>
      <c r="P48" s="144"/>
      <c r="Q48" s="144">
        <v>0</v>
      </c>
      <c r="R48" s="144"/>
      <c r="S48" s="144">
        <v>3466353</v>
      </c>
      <c r="T48" s="144"/>
      <c r="U48" s="178">
        <f t="shared" si="1"/>
        <v>15768230</v>
      </c>
      <c r="V48" s="40"/>
      <c r="AA48" s="96">
        <f t="shared" si="2"/>
        <v>0</v>
      </c>
    </row>
    <row r="49" spans="1:27" ht="12.75" customHeight="1" hidden="1">
      <c r="A49" s="23" t="s">
        <v>239</v>
      </c>
      <c r="B49" s="23"/>
      <c r="C49" s="24"/>
      <c r="D49" s="144"/>
      <c r="E49" s="24"/>
      <c r="F49" s="144"/>
      <c r="G49" s="24"/>
      <c r="H49" s="144"/>
      <c r="I49" s="24"/>
      <c r="J49" s="144"/>
      <c r="K49" s="24"/>
      <c r="L49" s="144"/>
      <c r="M49" s="24"/>
      <c r="N49" s="144"/>
      <c r="O49" s="144"/>
      <c r="P49" s="144"/>
      <c r="Q49" s="144"/>
      <c r="R49" s="144"/>
      <c r="S49" s="144"/>
      <c r="T49" s="144"/>
      <c r="U49" s="178">
        <f t="shared" si="1"/>
        <v>0</v>
      </c>
      <c r="V49" s="40"/>
      <c r="AA49" s="96">
        <f t="shared" si="2"/>
        <v>0</v>
      </c>
    </row>
    <row r="50" spans="1:27" ht="12.75" customHeight="1">
      <c r="A50" s="23" t="s">
        <v>46</v>
      </c>
      <c r="B50" s="23"/>
      <c r="C50" s="24">
        <f>22935776+194663+55000+406322+882491</f>
        <v>24474252</v>
      </c>
      <c r="D50" s="144"/>
      <c r="E50" s="24">
        <v>51912358</v>
      </c>
      <c r="F50" s="144"/>
      <c r="G50" s="24">
        <v>18578247</v>
      </c>
      <c r="H50" s="144"/>
      <c r="I50" s="24">
        <v>24415570</v>
      </c>
      <c r="J50" s="144"/>
      <c r="K50" s="24">
        <f>539278+154080+317249</f>
        <v>1010607</v>
      </c>
      <c r="L50" s="144"/>
      <c r="M50" s="24">
        <f>27496788-1948435-40874-539278-154080-317249</f>
        <v>24496872</v>
      </c>
      <c r="N50" s="144"/>
      <c r="O50" s="144">
        <v>40874</v>
      </c>
      <c r="P50" s="144"/>
      <c r="Q50" s="144">
        <v>0</v>
      </c>
      <c r="R50" s="144"/>
      <c r="S50" s="144">
        <v>1948435</v>
      </c>
      <c r="T50" s="144"/>
      <c r="U50" s="178">
        <f t="shared" si="1"/>
        <v>27496788</v>
      </c>
      <c r="V50" s="40"/>
      <c r="AA50" s="96">
        <f t="shared" si="2"/>
        <v>0</v>
      </c>
    </row>
    <row r="51" spans="1:27" ht="12.75" customHeight="1">
      <c r="A51" s="23" t="s">
        <v>47</v>
      </c>
      <c r="B51" s="23"/>
      <c r="C51" s="24">
        <f>23254779+178854+2054977</f>
        <v>25488610</v>
      </c>
      <c r="D51" s="144"/>
      <c r="E51" s="24">
        <v>43480186</v>
      </c>
      <c r="F51" s="144"/>
      <c r="G51" s="24">
        <v>15791455</v>
      </c>
      <c r="H51" s="144"/>
      <c r="I51" s="24">
        <v>17108865</v>
      </c>
      <c r="J51" s="144"/>
      <c r="K51" s="24">
        <v>581374</v>
      </c>
      <c r="L51" s="144"/>
      <c r="M51" s="24">
        <v>22389104</v>
      </c>
      <c r="N51" s="144"/>
      <c r="O51" s="144">
        <v>2035981</v>
      </c>
      <c r="P51" s="144"/>
      <c r="Q51" s="144">
        <v>0</v>
      </c>
      <c r="R51" s="144"/>
      <c r="S51" s="144">
        <v>1364862</v>
      </c>
      <c r="T51" s="144"/>
      <c r="U51" s="178">
        <f t="shared" si="1"/>
        <v>26371321</v>
      </c>
      <c r="V51" s="40"/>
      <c r="AA51" s="96">
        <f t="shared" si="2"/>
        <v>0</v>
      </c>
    </row>
    <row r="52" spans="1:27" ht="12.75" customHeight="1" hidden="1">
      <c r="A52" s="23" t="s">
        <v>48</v>
      </c>
      <c r="B52" s="23"/>
      <c r="C52" s="24"/>
      <c r="D52" s="144"/>
      <c r="E52" s="24"/>
      <c r="F52" s="144"/>
      <c r="G52" s="24"/>
      <c r="H52" s="144"/>
      <c r="I52" s="24"/>
      <c r="J52" s="144"/>
      <c r="K52" s="24"/>
      <c r="L52" s="144"/>
      <c r="M52" s="24"/>
      <c r="N52" s="144"/>
      <c r="O52" s="144"/>
      <c r="P52" s="144"/>
      <c r="Q52" s="144"/>
      <c r="R52" s="144"/>
      <c r="S52" s="144"/>
      <c r="T52" s="144"/>
      <c r="U52" s="178">
        <f t="shared" si="1"/>
        <v>0</v>
      </c>
      <c r="V52" s="40"/>
      <c r="AA52" s="96">
        <f t="shared" si="2"/>
        <v>0</v>
      </c>
    </row>
    <row r="53" spans="1:27" ht="12.75" customHeight="1" hidden="1">
      <c r="A53" s="23" t="s">
        <v>169</v>
      </c>
      <c r="B53" s="23"/>
      <c r="C53" s="24"/>
      <c r="D53" s="144"/>
      <c r="E53" s="24"/>
      <c r="F53" s="144"/>
      <c r="G53" s="24"/>
      <c r="H53" s="144"/>
      <c r="I53" s="24"/>
      <c r="J53" s="144"/>
      <c r="K53" s="24"/>
      <c r="L53" s="144"/>
      <c r="M53" s="24"/>
      <c r="N53" s="144"/>
      <c r="O53" s="144"/>
      <c r="P53" s="144"/>
      <c r="Q53" s="144"/>
      <c r="R53" s="144"/>
      <c r="S53" s="144"/>
      <c r="T53" s="144"/>
      <c r="U53" s="178">
        <f t="shared" si="1"/>
        <v>0</v>
      </c>
      <c r="V53" s="40"/>
      <c r="AA53" s="96">
        <f t="shared" si="2"/>
        <v>0</v>
      </c>
    </row>
    <row r="54" spans="1:27" ht="12.75" customHeight="1">
      <c r="A54" s="23" t="s">
        <v>49</v>
      </c>
      <c r="B54" s="23"/>
      <c r="C54" s="24">
        <f>35926850+679223</f>
        <v>36606073</v>
      </c>
      <c r="D54" s="144"/>
      <c r="E54" s="24">
        <v>76773358</v>
      </c>
      <c r="F54" s="144"/>
      <c r="G54" s="24">
        <v>29760374</v>
      </c>
      <c r="H54" s="144"/>
      <c r="I54" s="24">
        <v>38093097</v>
      </c>
      <c r="J54" s="144"/>
      <c r="K54" s="24">
        <v>3567361</v>
      </c>
      <c r="L54" s="144"/>
      <c r="M54" s="24">
        <v>22628233</v>
      </c>
      <c r="N54" s="144"/>
      <c r="O54" s="144">
        <v>705744</v>
      </c>
      <c r="P54" s="144"/>
      <c r="Q54" s="144">
        <v>361911</v>
      </c>
      <c r="R54" s="144"/>
      <c r="S54" s="144">
        <v>11417012</v>
      </c>
      <c r="T54" s="144"/>
      <c r="U54" s="178">
        <f t="shared" si="1"/>
        <v>38680261</v>
      </c>
      <c r="V54" s="40"/>
      <c r="AA54" s="96">
        <f t="shared" si="2"/>
        <v>0</v>
      </c>
    </row>
    <row r="55" spans="1:27" ht="12.75" customHeight="1">
      <c r="A55" s="23" t="s">
        <v>50</v>
      </c>
      <c r="B55" s="23"/>
      <c r="C55" s="24">
        <v>16071801</v>
      </c>
      <c r="D55" s="144"/>
      <c r="E55" s="24">
        <v>29696863</v>
      </c>
      <c r="F55" s="144"/>
      <c r="G55" s="24">
        <v>10579053</v>
      </c>
      <c r="H55" s="144"/>
      <c r="I55" s="24">
        <v>15447781</v>
      </c>
      <c r="J55" s="144"/>
      <c r="K55" s="24">
        <f>604067+31475+282850+111912+237500</f>
        <v>1267804</v>
      </c>
      <c r="L55" s="144"/>
      <c r="M55" s="24">
        <f>1134257+356148+6021164+4620394+33861+462210+201487</f>
        <v>12829521</v>
      </c>
      <c r="N55" s="144"/>
      <c r="O55" s="144">
        <f>197062+463139+631353+73563+205322</f>
        <v>1570439</v>
      </c>
      <c r="P55" s="144"/>
      <c r="Q55" s="144">
        <f>54542+80192+75991</f>
        <v>210725</v>
      </c>
      <c r="R55" s="144"/>
      <c r="S55" s="144">
        <v>-1629407</v>
      </c>
      <c r="T55" s="144"/>
      <c r="U55" s="178">
        <f t="shared" si="1"/>
        <v>14249082</v>
      </c>
      <c r="V55" s="40"/>
      <c r="AA55" s="96">
        <f t="shared" si="2"/>
        <v>0</v>
      </c>
    </row>
    <row r="56" spans="1:27" ht="12.75" customHeight="1">
      <c r="A56" s="23" t="s">
        <v>244</v>
      </c>
      <c r="B56" s="23"/>
      <c r="C56" s="24">
        <f>99135222+325498+1183673</f>
        <v>100644393</v>
      </c>
      <c r="D56" s="144"/>
      <c r="E56" s="24">
        <v>205608557</v>
      </c>
      <c r="F56" s="144"/>
      <c r="G56" s="24">
        <v>71368078</v>
      </c>
      <c r="H56" s="144"/>
      <c r="I56" s="24">
        <v>99095630</v>
      </c>
      <c r="J56" s="144"/>
      <c r="K56" s="24">
        <v>1825975</v>
      </c>
      <c r="L56" s="144"/>
      <c r="M56" s="24">
        <v>66561853</v>
      </c>
      <c r="N56" s="144"/>
      <c r="O56" s="144">
        <v>634441</v>
      </c>
      <c r="P56" s="144"/>
      <c r="Q56" s="144">
        <v>37257176</v>
      </c>
      <c r="R56" s="144"/>
      <c r="S56" s="144">
        <v>233482</v>
      </c>
      <c r="T56" s="144"/>
      <c r="U56" s="178">
        <f t="shared" si="1"/>
        <v>106512927</v>
      </c>
      <c r="V56" s="40"/>
      <c r="AA56" s="96">
        <f t="shared" si="2"/>
        <v>0</v>
      </c>
    </row>
    <row r="57" spans="1:27" ht="12.75" customHeight="1">
      <c r="A57" s="23" t="s">
        <v>182</v>
      </c>
      <c r="B57" s="23"/>
      <c r="C57" s="24">
        <f>151400788+2106880</f>
        <v>153507668</v>
      </c>
      <c r="D57" s="144"/>
      <c r="E57" s="24">
        <v>352838464</v>
      </c>
      <c r="F57" s="144"/>
      <c r="G57" s="24">
        <v>54455396</v>
      </c>
      <c r="H57" s="144"/>
      <c r="I57" s="24">
        <v>211677797</v>
      </c>
      <c r="J57" s="144"/>
      <c r="K57" s="24">
        <v>2435350</v>
      </c>
      <c r="L57" s="144"/>
      <c r="M57" s="24">
        <v>106041295</v>
      </c>
      <c r="N57" s="144"/>
      <c r="O57" s="144">
        <v>581701</v>
      </c>
      <c r="P57" s="144"/>
      <c r="Q57" s="144">
        <v>12270724</v>
      </c>
      <c r="R57" s="144"/>
      <c r="S57" s="144">
        <v>19831597</v>
      </c>
      <c r="T57" s="144"/>
      <c r="U57" s="178">
        <f t="shared" si="1"/>
        <v>141160667</v>
      </c>
      <c r="V57" s="40"/>
      <c r="AA57" s="96">
        <f t="shared" si="2"/>
        <v>0</v>
      </c>
    </row>
    <row r="58" spans="1:27" ht="12.75" customHeight="1" hidden="1">
      <c r="A58" s="23" t="s">
        <v>52</v>
      </c>
      <c r="B58" s="23"/>
      <c r="C58" s="24"/>
      <c r="D58" s="144"/>
      <c r="E58" s="24"/>
      <c r="F58" s="144"/>
      <c r="G58" s="24"/>
      <c r="H58" s="144"/>
      <c r="I58" s="24"/>
      <c r="J58" s="144"/>
      <c r="K58" s="24"/>
      <c r="L58" s="144"/>
      <c r="M58" s="24"/>
      <c r="N58" s="144"/>
      <c r="O58" s="144"/>
      <c r="P58" s="144"/>
      <c r="Q58" s="144"/>
      <c r="R58" s="144"/>
      <c r="S58" s="144"/>
      <c r="T58" s="144"/>
      <c r="U58" s="178">
        <f t="shared" si="1"/>
        <v>0</v>
      </c>
      <c r="V58" s="40"/>
      <c r="AA58" s="96">
        <f t="shared" si="2"/>
        <v>0</v>
      </c>
    </row>
    <row r="59" spans="1:27" ht="12.75" customHeight="1">
      <c r="A59" s="23" t="s">
        <v>53</v>
      </c>
      <c r="B59" s="23"/>
      <c r="C59" s="24">
        <f>78690854+446902+6087206+732981</f>
        <v>85957943</v>
      </c>
      <c r="D59" s="144"/>
      <c r="E59" s="24">
        <v>152463001</v>
      </c>
      <c r="F59" s="144"/>
      <c r="G59" s="24">
        <v>51911770</v>
      </c>
      <c r="H59" s="144"/>
      <c r="I59" s="24">
        <v>68857524</v>
      </c>
      <c r="J59" s="144"/>
      <c r="K59" s="24">
        <v>732981</v>
      </c>
      <c r="L59" s="144"/>
      <c r="M59" s="24">
        <v>80166256</v>
      </c>
      <c r="N59" s="144"/>
      <c r="O59" s="144">
        <v>1312696</v>
      </c>
      <c r="P59" s="144"/>
      <c r="Q59" s="144">
        <v>1116180</v>
      </c>
      <c r="R59" s="144"/>
      <c r="S59" s="144">
        <v>277364</v>
      </c>
      <c r="T59" s="144"/>
      <c r="U59" s="178">
        <f t="shared" si="1"/>
        <v>83605477</v>
      </c>
      <c r="V59" s="40"/>
      <c r="AA59" s="96">
        <f t="shared" si="2"/>
        <v>0</v>
      </c>
    </row>
    <row r="60" spans="1:27" ht="12.75" customHeight="1">
      <c r="A60" s="23" t="s">
        <v>54</v>
      </c>
      <c r="B60" s="23"/>
      <c r="C60" s="24">
        <f>23186431+8435+439442+147111</f>
        <v>23781419</v>
      </c>
      <c r="D60" s="144"/>
      <c r="E60" s="24">
        <v>42878065</v>
      </c>
      <c r="F60" s="144"/>
      <c r="G60" s="24">
        <v>14913274</v>
      </c>
      <c r="H60" s="144"/>
      <c r="I60" s="24">
        <v>20699120</v>
      </c>
      <c r="J60" s="144"/>
      <c r="K60" s="24">
        <v>1636184</v>
      </c>
      <c r="L60" s="144"/>
      <c r="M60" s="24">
        <v>20556644</v>
      </c>
      <c r="N60" s="144"/>
      <c r="O60" s="144">
        <v>760952</v>
      </c>
      <c r="P60" s="144"/>
      <c r="Q60" s="144">
        <v>0</v>
      </c>
      <c r="R60" s="144"/>
      <c r="S60" s="144">
        <v>-774835</v>
      </c>
      <c r="T60" s="144"/>
      <c r="U60" s="178">
        <f t="shared" si="1"/>
        <v>22178945</v>
      </c>
      <c r="V60" s="40"/>
      <c r="AA60" s="96">
        <f t="shared" si="2"/>
        <v>0</v>
      </c>
    </row>
    <row r="61" spans="1:27" ht="12.75" customHeight="1">
      <c r="A61" s="23" t="s">
        <v>55</v>
      </c>
      <c r="B61" s="23"/>
      <c r="C61" s="24">
        <f>44803796+152440+1071000+52703</f>
        <v>46079939</v>
      </c>
      <c r="D61" s="144"/>
      <c r="E61" s="24">
        <v>90611427</v>
      </c>
      <c r="F61" s="144"/>
      <c r="G61" s="24">
        <v>35587738</v>
      </c>
      <c r="H61" s="144"/>
      <c r="I61" s="24">
        <v>46261698</v>
      </c>
      <c r="J61" s="144"/>
      <c r="K61" s="24">
        <v>705670</v>
      </c>
      <c r="L61" s="144"/>
      <c r="M61" s="24">
        <v>38679207</v>
      </c>
      <c r="N61" s="144"/>
      <c r="O61" s="144">
        <v>487096</v>
      </c>
      <c r="P61" s="144"/>
      <c r="Q61" s="144">
        <v>0</v>
      </c>
      <c r="R61" s="144"/>
      <c r="S61" s="144">
        <v>4477756</v>
      </c>
      <c r="T61" s="144"/>
      <c r="U61" s="178">
        <f t="shared" si="1"/>
        <v>44349729</v>
      </c>
      <c r="V61" s="40"/>
      <c r="AA61" s="96">
        <f t="shared" si="2"/>
        <v>0</v>
      </c>
    </row>
    <row r="62" spans="1:27" ht="12.75" customHeight="1" hidden="1">
      <c r="A62" s="23" t="s">
        <v>170</v>
      </c>
      <c r="B62" s="23"/>
      <c r="C62" s="24"/>
      <c r="D62" s="144"/>
      <c r="E62" s="24"/>
      <c r="F62" s="144"/>
      <c r="G62" s="24"/>
      <c r="H62" s="144"/>
      <c r="I62" s="24"/>
      <c r="J62" s="144"/>
      <c r="K62" s="24"/>
      <c r="L62" s="144"/>
      <c r="M62" s="24"/>
      <c r="N62" s="144"/>
      <c r="O62" s="144"/>
      <c r="P62" s="144"/>
      <c r="Q62" s="144"/>
      <c r="R62" s="144"/>
      <c r="S62" s="144"/>
      <c r="T62" s="144"/>
      <c r="U62" s="178">
        <f t="shared" si="1"/>
        <v>0</v>
      </c>
      <c r="V62" s="40"/>
      <c r="AA62" s="96">
        <f t="shared" si="2"/>
        <v>0</v>
      </c>
    </row>
    <row r="63" spans="1:27" ht="12.75" customHeight="1" hidden="1">
      <c r="A63" s="23" t="s">
        <v>56</v>
      </c>
      <c r="B63" s="23"/>
      <c r="C63" s="24"/>
      <c r="D63" s="144"/>
      <c r="E63" s="24"/>
      <c r="F63" s="144"/>
      <c r="G63" s="24"/>
      <c r="H63" s="144"/>
      <c r="I63" s="24"/>
      <c r="J63" s="144"/>
      <c r="K63" s="24"/>
      <c r="L63" s="144"/>
      <c r="M63" s="24"/>
      <c r="N63" s="144"/>
      <c r="O63" s="144"/>
      <c r="P63" s="144"/>
      <c r="Q63" s="144"/>
      <c r="R63" s="144"/>
      <c r="S63" s="144"/>
      <c r="T63" s="144"/>
      <c r="U63" s="178">
        <f t="shared" si="1"/>
        <v>0</v>
      </c>
      <c r="V63" s="40"/>
      <c r="AA63" s="96">
        <f t="shared" si="2"/>
        <v>0</v>
      </c>
    </row>
    <row r="64" spans="1:27" ht="12.75" customHeight="1">
      <c r="A64" s="23" t="s">
        <v>57</v>
      </c>
      <c r="B64" s="23"/>
      <c r="C64" s="24">
        <f>14613418+701580+28734721</f>
        <v>44049719</v>
      </c>
      <c r="D64" s="144"/>
      <c r="E64" s="24">
        <v>75643801</v>
      </c>
      <c r="F64" s="144"/>
      <c r="G64" s="24">
        <v>23867725</v>
      </c>
      <c r="H64" s="144"/>
      <c r="I64" s="24">
        <v>30855354</v>
      </c>
      <c r="J64" s="144"/>
      <c r="K64" s="24">
        <v>971116</v>
      </c>
      <c r="L64" s="144"/>
      <c r="M64" s="24">
        <v>29436692</v>
      </c>
      <c r="N64" s="144"/>
      <c r="O64" s="144">
        <v>619924</v>
      </c>
      <c r="P64" s="144"/>
      <c r="Q64" s="144">
        <v>230158</v>
      </c>
      <c r="R64" s="144"/>
      <c r="S64" s="144">
        <v>13530557</v>
      </c>
      <c r="T64" s="144"/>
      <c r="U64" s="178">
        <f t="shared" si="1"/>
        <v>44788447</v>
      </c>
      <c r="V64" s="40"/>
      <c r="AA64" s="96">
        <f t="shared" si="2"/>
        <v>0</v>
      </c>
    </row>
    <row r="65" spans="1:27" ht="12.75" customHeight="1" hidden="1">
      <c r="A65" s="23" t="s">
        <v>58</v>
      </c>
      <c r="B65" s="23"/>
      <c r="C65" s="24"/>
      <c r="D65" s="144"/>
      <c r="E65" s="24"/>
      <c r="F65" s="144"/>
      <c r="G65" s="24"/>
      <c r="H65" s="144"/>
      <c r="I65" s="24"/>
      <c r="J65" s="144"/>
      <c r="K65" s="24"/>
      <c r="L65" s="144"/>
      <c r="M65" s="24"/>
      <c r="N65" s="144"/>
      <c r="O65" s="144"/>
      <c r="P65" s="144"/>
      <c r="Q65" s="144"/>
      <c r="R65" s="144"/>
      <c r="S65" s="144"/>
      <c r="T65" s="144"/>
      <c r="U65" s="178">
        <f t="shared" si="1"/>
        <v>0</v>
      </c>
      <c r="V65" s="40"/>
      <c r="AA65" s="96">
        <f t="shared" si="2"/>
        <v>0</v>
      </c>
    </row>
    <row r="66" spans="1:27" ht="12.75" customHeight="1">
      <c r="A66" s="23" t="s">
        <v>59</v>
      </c>
      <c r="B66" s="23"/>
      <c r="C66" s="24">
        <v>255112615</v>
      </c>
      <c r="D66" s="40"/>
      <c r="E66" s="24">
        <v>503392574</v>
      </c>
      <c r="F66" s="40"/>
      <c r="G66" s="24">
        <v>199532224</v>
      </c>
      <c r="H66" s="40"/>
      <c r="I66" s="24">
        <v>227568096</v>
      </c>
      <c r="J66" s="40"/>
      <c r="K66" s="24">
        <v>7858517</v>
      </c>
      <c r="L66" s="40"/>
      <c r="M66" s="24">
        <v>181194829</v>
      </c>
      <c r="N66" s="40"/>
      <c r="O66" s="40">
        <v>0</v>
      </c>
      <c r="P66" s="40"/>
      <c r="Q66" s="40">
        <v>40380245</v>
      </c>
      <c r="R66" s="40"/>
      <c r="S66" s="40">
        <v>46390887</v>
      </c>
      <c r="T66" s="40"/>
      <c r="U66" s="178">
        <f t="shared" si="1"/>
        <v>275824478</v>
      </c>
      <c r="V66" s="40"/>
      <c r="AA66" s="96">
        <f t="shared" si="2"/>
        <v>0</v>
      </c>
    </row>
    <row r="67" spans="1:27" ht="12.75" customHeight="1" hidden="1">
      <c r="A67" s="23" t="s">
        <v>60</v>
      </c>
      <c r="B67" s="23"/>
      <c r="C67" s="24"/>
      <c r="D67" s="40"/>
      <c r="E67" s="24"/>
      <c r="F67" s="40"/>
      <c r="G67" s="24"/>
      <c r="H67" s="40"/>
      <c r="I67" s="24"/>
      <c r="J67" s="40"/>
      <c r="K67" s="24"/>
      <c r="L67" s="40"/>
      <c r="M67" s="24"/>
      <c r="N67" s="40"/>
      <c r="O67" s="40"/>
      <c r="P67" s="40"/>
      <c r="Q67" s="40"/>
      <c r="R67" s="40"/>
      <c r="S67" s="40"/>
      <c r="T67" s="40"/>
      <c r="U67" s="178">
        <f t="shared" si="1"/>
        <v>0</v>
      </c>
      <c r="V67" s="40"/>
      <c r="AA67" s="96">
        <f t="shared" si="2"/>
        <v>0</v>
      </c>
    </row>
    <row r="68" spans="1:27" ht="12.75" customHeight="1">
      <c r="A68" s="23" t="s">
        <v>97</v>
      </c>
      <c r="B68" s="23"/>
      <c r="C68" s="24">
        <v>10393453</v>
      </c>
      <c r="D68" s="40"/>
      <c r="E68" s="24">
        <v>19234070</v>
      </c>
      <c r="F68" s="40"/>
      <c r="G68" s="24">
        <v>2523839</v>
      </c>
      <c r="H68" s="40"/>
      <c r="I68" s="24">
        <v>7590666</v>
      </c>
      <c r="J68" s="40"/>
      <c r="K68" s="24">
        <v>311565</v>
      </c>
      <c r="L68" s="40"/>
      <c r="M68" s="24">
        <v>8024581</v>
      </c>
      <c r="N68" s="40"/>
      <c r="O68" s="40">
        <v>508823</v>
      </c>
      <c r="P68" s="40"/>
      <c r="Q68" s="40">
        <v>1796952</v>
      </c>
      <c r="R68" s="40"/>
      <c r="S68" s="40">
        <v>1001483</v>
      </c>
      <c r="T68" s="40"/>
      <c r="U68" s="178">
        <f t="shared" si="1"/>
        <v>11643404</v>
      </c>
      <c r="V68" s="40"/>
      <c r="AA68" s="96">
        <f t="shared" si="2"/>
        <v>0</v>
      </c>
    </row>
    <row r="69" spans="1:27" ht="12.75" customHeight="1">
      <c r="A69" s="23" t="s">
        <v>61</v>
      </c>
      <c r="B69" s="23"/>
      <c r="C69" s="24">
        <f>40341744+1707+2628299+174308</f>
        <v>43146058</v>
      </c>
      <c r="D69" s="40"/>
      <c r="E69" s="24">
        <v>84498951</v>
      </c>
      <c r="F69" s="40"/>
      <c r="G69" s="24">
        <v>35623140</v>
      </c>
      <c r="H69" s="40"/>
      <c r="I69" s="24">
        <v>43057596</v>
      </c>
      <c r="J69" s="40"/>
      <c r="K69" s="24">
        <v>1571649</v>
      </c>
      <c r="L69" s="40"/>
      <c r="M69" s="24">
        <v>36616213</v>
      </c>
      <c r="N69" s="40"/>
      <c r="O69" s="40">
        <v>1581473</v>
      </c>
      <c r="P69" s="40"/>
      <c r="Q69" s="40">
        <v>2696</v>
      </c>
      <c r="R69" s="40"/>
      <c r="S69" s="40">
        <v>1669324</v>
      </c>
      <c r="T69" s="40"/>
      <c r="U69" s="178">
        <f t="shared" si="1"/>
        <v>41441355</v>
      </c>
      <c r="V69" s="40"/>
      <c r="AA69" s="96">
        <f t="shared" si="2"/>
        <v>0</v>
      </c>
    </row>
    <row r="70" spans="1:27" ht="12.75" customHeight="1">
      <c r="A70" s="23" t="s">
        <v>62</v>
      </c>
      <c r="B70" s="23"/>
      <c r="C70" s="24">
        <f>5638023+267215+99548</f>
        <v>6004786</v>
      </c>
      <c r="D70" s="40"/>
      <c r="E70" s="24">
        <v>12221758</v>
      </c>
      <c r="F70" s="40"/>
      <c r="G70" s="24">
        <v>4987120</v>
      </c>
      <c r="H70" s="40"/>
      <c r="I70" s="24">
        <v>5878633</v>
      </c>
      <c r="J70" s="40"/>
      <c r="K70" s="24">
        <v>464345</v>
      </c>
      <c r="L70" s="40"/>
      <c r="M70" s="24">
        <v>4991641</v>
      </c>
      <c r="N70" s="40"/>
      <c r="O70" s="40">
        <v>651012</v>
      </c>
      <c r="P70" s="40"/>
      <c r="Q70" s="40">
        <v>0</v>
      </c>
      <c r="R70" s="40"/>
      <c r="S70" s="40">
        <v>236127</v>
      </c>
      <c r="T70" s="40"/>
      <c r="U70" s="178">
        <f t="shared" si="1"/>
        <v>6343125</v>
      </c>
      <c r="V70" s="40"/>
      <c r="AA70" s="96">
        <f t="shared" si="2"/>
        <v>0</v>
      </c>
    </row>
    <row r="71" spans="1:27" ht="12.75" customHeight="1" hidden="1">
      <c r="A71" s="23" t="s">
        <v>63</v>
      </c>
      <c r="B71" s="23"/>
      <c r="C71" s="24"/>
      <c r="D71" s="40"/>
      <c r="E71" s="24"/>
      <c r="F71" s="40"/>
      <c r="G71" s="24"/>
      <c r="H71" s="40"/>
      <c r="I71" s="24"/>
      <c r="J71" s="40"/>
      <c r="K71" s="24"/>
      <c r="L71" s="40"/>
      <c r="M71" s="24"/>
      <c r="N71" s="40"/>
      <c r="O71" s="40"/>
      <c r="P71" s="40"/>
      <c r="Q71" s="40"/>
      <c r="R71" s="40"/>
      <c r="S71" s="40"/>
      <c r="T71" s="40"/>
      <c r="U71" s="178">
        <f t="shared" si="1"/>
        <v>0</v>
      </c>
      <c r="V71" s="40"/>
      <c r="AA71" s="96">
        <f t="shared" si="2"/>
        <v>0</v>
      </c>
    </row>
    <row r="72" spans="1:27" ht="12.75" customHeight="1" hidden="1">
      <c r="A72" s="23" t="s">
        <v>131</v>
      </c>
      <c r="B72" s="23"/>
      <c r="C72" s="24"/>
      <c r="D72" s="40"/>
      <c r="E72" s="24"/>
      <c r="F72" s="40"/>
      <c r="G72" s="24"/>
      <c r="H72" s="40"/>
      <c r="I72" s="24"/>
      <c r="J72" s="40"/>
      <c r="K72" s="24"/>
      <c r="L72" s="40"/>
      <c r="M72" s="24"/>
      <c r="N72" s="40"/>
      <c r="O72" s="40"/>
      <c r="P72" s="40"/>
      <c r="Q72" s="40"/>
      <c r="R72" s="40"/>
      <c r="S72" s="40"/>
      <c r="T72" s="40"/>
      <c r="U72" s="178">
        <f t="shared" si="1"/>
        <v>0</v>
      </c>
      <c r="V72" s="40"/>
      <c r="AA72" s="96">
        <f t="shared" si="2"/>
        <v>0</v>
      </c>
    </row>
    <row r="73" spans="1:27" ht="12.75" customHeight="1" hidden="1">
      <c r="A73" s="23" t="s">
        <v>64</v>
      </c>
      <c r="B73" s="23"/>
      <c r="C73" s="24"/>
      <c r="D73" s="40"/>
      <c r="E73" s="24"/>
      <c r="F73" s="40"/>
      <c r="G73" s="24"/>
      <c r="H73" s="40"/>
      <c r="I73" s="24"/>
      <c r="J73" s="40"/>
      <c r="K73" s="24"/>
      <c r="L73" s="40"/>
      <c r="M73" s="24"/>
      <c r="N73" s="40"/>
      <c r="O73" s="40"/>
      <c r="P73" s="40"/>
      <c r="Q73" s="40"/>
      <c r="R73" s="40"/>
      <c r="S73" s="40"/>
      <c r="T73" s="40"/>
      <c r="U73" s="178">
        <f t="shared" si="1"/>
        <v>0</v>
      </c>
      <c r="V73" s="40"/>
      <c r="W73" s="26"/>
      <c r="AA73" s="96">
        <f t="shared" si="2"/>
        <v>0</v>
      </c>
    </row>
    <row r="74" spans="1:27" ht="12.75" customHeight="1">
      <c r="A74" s="23" t="s">
        <v>65</v>
      </c>
      <c r="B74" s="23"/>
      <c r="C74" s="24">
        <f>20224876+140220+68038</f>
        <v>20433134</v>
      </c>
      <c r="D74" s="40"/>
      <c r="E74" s="24">
        <v>34106907</v>
      </c>
      <c r="F74" s="40"/>
      <c r="G74" s="24">
        <v>9215038</v>
      </c>
      <c r="H74" s="40"/>
      <c r="I74" s="24">
        <v>11287951</v>
      </c>
      <c r="J74" s="40"/>
      <c r="K74" s="24">
        <v>712770</v>
      </c>
      <c r="L74" s="40"/>
      <c r="M74" s="24">
        <v>16681487</v>
      </c>
      <c r="N74" s="40"/>
      <c r="O74" s="40">
        <v>19975</v>
      </c>
      <c r="P74" s="40"/>
      <c r="Q74" s="40">
        <v>1378013</v>
      </c>
      <c r="R74" s="40"/>
      <c r="S74" s="40">
        <v>4026711</v>
      </c>
      <c r="T74" s="40"/>
      <c r="U74" s="178">
        <f t="shared" si="1"/>
        <v>22818956</v>
      </c>
      <c r="V74" s="40"/>
      <c r="W74" s="26"/>
      <c r="AA74" s="96">
        <f aca="true" t="shared" si="3" ref="AA74:AA100">+E74-I74-U74</f>
        <v>0</v>
      </c>
    </row>
    <row r="75" spans="1:27" ht="12.75" customHeight="1">
      <c r="A75" s="23" t="s">
        <v>66</v>
      </c>
      <c r="B75" s="23"/>
      <c r="C75" s="24">
        <f>15055886+43223+715885+529944</f>
        <v>16344938</v>
      </c>
      <c r="D75" s="40"/>
      <c r="E75" s="24">
        <v>28534223</v>
      </c>
      <c r="F75" s="40"/>
      <c r="G75" s="24">
        <v>8606831</v>
      </c>
      <c r="H75" s="40"/>
      <c r="I75" s="24">
        <v>10643879</v>
      </c>
      <c r="J75" s="40"/>
      <c r="K75" s="24">
        <v>0</v>
      </c>
      <c r="L75" s="40"/>
      <c r="M75" s="24">
        <f>1246752+1152662</f>
        <v>2399414</v>
      </c>
      <c r="N75" s="40"/>
      <c r="O75" s="40">
        <v>0</v>
      </c>
      <c r="P75" s="40"/>
      <c r="Q75" s="40">
        <v>0</v>
      </c>
      <c r="R75" s="40"/>
      <c r="S75" s="40">
        <f>5403287+10142338-54695</f>
        <v>15490930</v>
      </c>
      <c r="T75" s="40"/>
      <c r="U75" s="178">
        <f t="shared" si="1"/>
        <v>17890344</v>
      </c>
      <c r="V75" s="40"/>
      <c r="W75" s="26"/>
      <c r="AA75" s="96">
        <f t="shared" si="3"/>
        <v>0</v>
      </c>
    </row>
    <row r="76" spans="1:27" ht="12.75" customHeight="1">
      <c r="A76" s="23" t="s">
        <v>67</v>
      </c>
      <c r="B76" s="23"/>
      <c r="C76" s="24">
        <f>56346168+304973+7490184</f>
        <v>64141325</v>
      </c>
      <c r="D76" s="40"/>
      <c r="E76" s="24">
        <v>118133688</v>
      </c>
      <c r="F76" s="40"/>
      <c r="G76" s="24">
        <v>35726058</v>
      </c>
      <c r="H76" s="40"/>
      <c r="I76" s="24">
        <v>44236556</v>
      </c>
      <c r="J76" s="40"/>
      <c r="K76" s="24">
        <v>1481106</v>
      </c>
      <c r="L76" s="40"/>
      <c r="M76" s="24">
        <v>57884206</v>
      </c>
      <c r="N76" s="40"/>
      <c r="O76" s="40">
        <v>178663</v>
      </c>
      <c r="P76" s="40"/>
      <c r="Q76" s="40">
        <v>27212</v>
      </c>
      <c r="R76" s="40"/>
      <c r="S76" s="40">
        <v>14325945</v>
      </c>
      <c r="T76" s="40"/>
      <c r="U76" s="178">
        <f>SUM(K76:S76)</f>
        <v>73897132</v>
      </c>
      <c r="V76" s="40"/>
      <c r="W76" s="26"/>
      <c r="AA76" s="96">
        <f t="shared" si="3"/>
        <v>0</v>
      </c>
    </row>
    <row r="77" spans="1:27" ht="12.75" customHeight="1">
      <c r="A77" s="23" t="s">
        <v>68</v>
      </c>
      <c r="B77" s="23"/>
      <c r="C77" s="24">
        <f>11998897+162092+1178453</f>
        <v>13339442</v>
      </c>
      <c r="D77" s="40"/>
      <c r="E77" s="24">
        <v>21973507</v>
      </c>
      <c r="F77" s="40"/>
      <c r="G77" s="24">
        <v>5356511</v>
      </c>
      <c r="H77" s="40"/>
      <c r="I77" s="24">
        <v>7282407</v>
      </c>
      <c r="J77" s="40"/>
      <c r="K77" s="24">
        <v>224229</v>
      </c>
      <c r="L77" s="40"/>
      <c r="M77" s="24">
        <v>9897163</v>
      </c>
      <c r="N77" s="40"/>
      <c r="O77" s="40">
        <v>134271</v>
      </c>
      <c r="P77" s="40"/>
      <c r="Q77" s="40">
        <v>20517</v>
      </c>
      <c r="R77" s="40"/>
      <c r="S77" s="40">
        <v>4414920</v>
      </c>
      <c r="T77" s="40"/>
      <c r="U77" s="40">
        <f>SUM(K77:S77)</f>
        <v>14691100</v>
      </c>
      <c r="V77" s="40"/>
      <c r="W77" s="26"/>
      <c r="AA77" s="96">
        <f t="shared" si="3"/>
        <v>0</v>
      </c>
    </row>
    <row r="78" spans="1:27" ht="12.75" customHeight="1">
      <c r="A78" s="23"/>
      <c r="B78" s="23"/>
      <c r="C78" s="24"/>
      <c r="D78" s="40"/>
      <c r="E78" s="24"/>
      <c r="F78" s="40"/>
      <c r="G78" s="24"/>
      <c r="H78" s="40"/>
      <c r="I78" s="24"/>
      <c r="J78" s="40"/>
      <c r="K78" s="24"/>
      <c r="L78" s="40"/>
      <c r="M78" s="24"/>
      <c r="N78" s="40"/>
      <c r="O78" s="40"/>
      <c r="P78" s="40"/>
      <c r="Q78" s="40"/>
      <c r="R78" s="40"/>
      <c r="S78" s="40"/>
      <c r="T78" s="40"/>
      <c r="U78" s="40"/>
      <c r="V78" s="40"/>
      <c r="W78" s="26"/>
      <c r="AA78" s="96"/>
    </row>
    <row r="79" spans="1:27" ht="12.75" customHeight="1">
      <c r="A79" s="23"/>
      <c r="B79" s="23"/>
      <c r="C79" s="24"/>
      <c r="D79" s="40"/>
      <c r="E79" s="24"/>
      <c r="F79" s="40"/>
      <c r="G79" s="24"/>
      <c r="H79" s="40"/>
      <c r="I79" s="24"/>
      <c r="J79" s="40"/>
      <c r="K79" s="24"/>
      <c r="L79" s="40"/>
      <c r="M79" s="24"/>
      <c r="N79" s="40"/>
      <c r="O79" s="40"/>
      <c r="P79" s="40"/>
      <c r="Q79" s="40"/>
      <c r="R79" s="40"/>
      <c r="S79" s="40"/>
      <c r="T79" s="40"/>
      <c r="U79" s="40" t="s">
        <v>247</v>
      </c>
      <c r="V79" s="40"/>
      <c r="W79" s="26"/>
      <c r="AA79" s="96"/>
    </row>
    <row r="80" spans="1:27" ht="12.75" customHeight="1" hidden="1">
      <c r="A80" s="23" t="s">
        <v>175</v>
      </c>
      <c r="B80" s="23"/>
      <c r="C80" s="24"/>
      <c r="D80" s="40"/>
      <c r="E80" s="24"/>
      <c r="F80" s="40"/>
      <c r="G80" s="24"/>
      <c r="H80" s="40"/>
      <c r="I80" s="24"/>
      <c r="J80" s="40"/>
      <c r="K80" s="24"/>
      <c r="L80" s="40"/>
      <c r="M80" s="24"/>
      <c r="N80" s="40"/>
      <c r="O80" s="40"/>
      <c r="P80" s="40"/>
      <c r="Q80" s="40"/>
      <c r="R80" s="40"/>
      <c r="S80" s="40"/>
      <c r="T80" s="40"/>
      <c r="U80" s="40">
        <f>+M80+K80</f>
        <v>0</v>
      </c>
      <c r="V80" s="40"/>
      <c r="W80" s="26"/>
      <c r="AA80" s="96">
        <f t="shared" si="3"/>
        <v>0</v>
      </c>
    </row>
    <row r="81" spans="1:27" ht="12.75" customHeight="1">
      <c r="A81" s="23" t="s">
        <v>177</v>
      </c>
      <c r="B81" s="23"/>
      <c r="C81" s="177">
        <f>51679835+62309+6372649+195840</f>
        <v>58310633</v>
      </c>
      <c r="D81" s="179"/>
      <c r="E81" s="177">
        <v>103088163</v>
      </c>
      <c r="F81" s="179"/>
      <c r="G81" s="177">
        <v>38649883</v>
      </c>
      <c r="H81" s="179"/>
      <c r="I81" s="177">
        <v>51362714</v>
      </c>
      <c r="J81" s="179"/>
      <c r="K81" s="177">
        <v>1447018</v>
      </c>
      <c r="L81" s="179"/>
      <c r="M81" s="177">
        <v>51953313</v>
      </c>
      <c r="N81" s="179"/>
      <c r="O81" s="179">
        <v>48446</v>
      </c>
      <c r="P81" s="179"/>
      <c r="Q81" s="179">
        <v>433792</v>
      </c>
      <c r="R81" s="179"/>
      <c r="S81" s="179">
        <v>-2157120</v>
      </c>
      <c r="T81" s="179"/>
      <c r="U81" s="179">
        <f>SUM(K81:S81)</f>
        <v>51725449</v>
      </c>
      <c r="V81" s="40"/>
      <c r="W81" s="26"/>
      <c r="AA81" s="96">
        <f t="shared" si="3"/>
        <v>0</v>
      </c>
    </row>
    <row r="82" spans="1:27" ht="12.75" customHeight="1">
      <c r="A82" s="23" t="s">
        <v>69</v>
      </c>
      <c r="B82" s="23"/>
      <c r="C82" s="24">
        <f>13243085+452384</f>
        <v>13695469</v>
      </c>
      <c r="D82" s="40"/>
      <c r="E82" s="24">
        <v>37039111</v>
      </c>
      <c r="F82" s="40"/>
      <c r="G82" s="24">
        <v>6322825</v>
      </c>
      <c r="H82" s="40"/>
      <c r="I82" s="24">
        <v>21645059</v>
      </c>
      <c r="J82" s="40"/>
      <c r="K82" s="24">
        <v>2642993</v>
      </c>
      <c r="L82" s="40"/>
      <c r="M82" s="24">
        <v>8990716</v>
      </c>
      <c r="N82" s="40"/>
      <c r="O82" s="40">
        <v>639898</v>
      </c>
      <c r="P82" s="40"/>
      <c r="Q82" s="40">
        <v>562191</v>
      </c>
      <c r="R82" s="40"/>
      <c r="S82" s="40">
        <v>2558254</v>
      </c>
      <c r="T82" s="40"/>
      <c r="U82" s="40">
        <f aca="true" t="shared" si="4" ref="U82:U98">SUM(K82:S82)</f>
        <v>15394052</v>
      </c>
      <c r="V82" s="40"/>
      <c r="W82" s="26"/>
      <c r="AA82" s="96">
        <f t="shared" si="3"/>
        <v>0</v>
      </c>
    </row>
    <row r="83" spans="1:27" ht="12.75" customHeight="1">
      <c r="A83" s="23" t="s">
        <v>98</v>
      </c>
      <c r="B83" s="23"/>
      <c r="C83" s="24">
        <v>25190063</v>
      </c>
      <c r="D83" s="40"/>
      <c r="E83" s="24">
        <v>42159771</v>
      </c>
      <c r="F83" s="40"/>
      <c r="G83" s="24">
        <v>4817170</v>
      </c>
      <c r="H83" s="40"/>
      <c r="I83" s="24">
        <v>14864334</v>
      </c>
      <c r="J83" s="40"/>
      <c r="K83" s="24">
        <v>1140941</v>
      </c>
      <c r="L83" s="40"/>
      <c r="M83" s="24">
        <v>17276405</v>
      </c>
      <c r="N83" s="40"/>
      <c r="O83" s="40">
        <v>2047090</v>
      </c>
      <c r="P83" s="40"/>
      <c r="Q83" s="40">
        <v>4384613</v>
      </c>
      <c r="R83" s="40"/>
      <c r="S83" s="40">
        <v>2446388</v>
      </c>
      <c r="T83" s="40"/>
      <c r="U83" s="40">
        <f t="shared" si="4"/>
        <v>27295437</v>
      </c>
      <c r="V83" s="40"/>
      <c r="W83" s="26"/>
      <c r="AA83" s="96">
        <f t="shared" si="3"/>
        <v>0</v>
      </c>
    </row>
    <row r="84" spans="1:27" ht="12.75" customHeight="1">
      <c r="A84" s="23" t="s">
        <v>70</v>
      </c>
      <c r="B84" s="23"/>
      <c r="C84" s="24">
        <f>13142303+112382+265601+17896+150319</f>
        <v>13688501</v>
      </c>
      <c r="D84" s="40"/>
      <c r="E84" s="24">
        <v>35382669</v>
      </c>
      <c r="F84" s="40"/>
      <c r="G84" s="24">
        <v>13718618</v>
      </c>
      <c r="H84" s="40"/>
      <c r="I84" s="24">
        <v>18049884</v>
      </c>
      <c r="J84" s="40"/>
      <c r="K84" s="24">
        <v>700432</v>
      </c>
      <c r="L84" s="40"/>
      <c r="M84" s="24">
        <v>15043240</v>
      </c>
      <c r="N84" s="40"/>
      <c r="O84" s="40">
        <v>560475</v>
      </c>
      <c r="P84" s="40"/>
      <c r="Q84" s="40">
        <v>304592</v>
      </c>
      <c r="R84" s="40"/>
      <c r="S84" s="40">
        <v>724046</v>
      </c>
      <c r="T84" s="40"/>
      <c r="U84" s="40">
        <f t="shared" si="4"/>
        <v>17332785</v>
      </c>
      <c r="V84" s="40"/>
      <c r="W84" s="26"/>
      <c r="AA84" s="96">
        <f t="shared" si="3"/>
        <v>0</v>
      </c>
    </row>
    <row r="85" spans="1:27" ht="12.75" customHeight="1">
      <c r="A85" s="23" t="s">
        <v>71</v>
      </c>
      <c r="B85" s="23"/>
      <c r="C85" s="24">
        <f>24110500+125923</f>
        <v>24236423</v>
      </c>
      <c r="D85" s="40"/>
      <c r="E85" s="24">
        <v>38376653</v>
      </c>
      <c r="F85" s="40"/>
      <c r="G85" s="24">
        <v>4009960</v>
      </c>
      <c r="H85" s="40"/>
      <c r="I85" s="24">
        <v>11819903</v>
      </c>
      <c r="J85" s="40"/>
      <c r="K85" s="24">
        <v>861889</v>
      </c>
      <c r="L85" s="40"/>
      <c r="M85" s="24">
        <v>22562997</v>
      </c>
      <c r="N85" s="40"/>
      <c r="O85" s="40">
        <v>692003</v>
      </c>
      <c r="P85" s="40"/>
      <c r="Q85" s="40">
        <v>11855</v>
      </c>
      <c r="R85" s="40"/>
      <c r="S85" s="40">
        <v>2428006</v>
      </c>
      <c r="T85" s="40"/>
      <c r="U85" s="40">
        <f t="shared" si="4"/>
        <v>26556750</v>
      </c>
      <c r="V85" s="40"/>
      <c r="W85" s="26"/>
      <c r="AA85" s="96">
        <f t="shared" si="3"/>
        <v>0</v>
      </c>
    </row>
    <row r="86" spans="1:27" ht="12.75" customHeight="1">
      <c r="A86" s="23" t="s">
        <v>72</v>
      </c>
      <c r="B86" s="23"/>
      <c r="C86" s="24">
        <f>15834492+147060</f>
        <v>15981552</v>
      </c>
      <c r="D86" s="40"/>
      <c r="E86" s="24">
        <v>32715216</v>
      </c>
      <c r="F86" s="40"/>
      <c r="G86" s="24">
        <v>10273957</v>
      </c>
      <c r="H86" s="40"/>
      <c r="I86" s="24">
        <v>12051893</v>
      </c>
      <c r="J86" s="40"/>
      <c r="K86" s="24">
        <v>1387282</v>
      </c>
      <c r="L86" s="40"/>
      <c r="M86" s="24">
        <v>18090516</v>
      </c>
      <c r="N86" s="40"/>
      <c r="O86" s="40">
        <v>114020</v>
      </c>
      <c r="P86" s="40"/>
      <c r="Q86" s="40">
        <v>137472</v>
      </c>
      <c r="R86" s="40"/>
      <c r="S86" s="40">
        <v>934033</v>
      </c>
      <c r="T86" s="40"/>
      <c r="U86" s="40">
        <f t="shared" si="4"/>
        <v>20663323</v>
      </c>
      <c r="V86" s="40"/>
      <c r="W86" s="26"/>
      <c r="AA86" s="96">
        <f t="shared" si="3"/>
        <v>0</v>
      </c>
    </row>
    <row r="87" spans="1:27" ht="12.75" customHeight="1">
      <c r="A87" s="23" t="s">
        <v>73</v>
      </c>
      <c r="B87" s="23"/>
      <c r="C87" s="24">
        <f>96459279+1169356+4519696</f>
        <v>102148331</v>
      </c>
      <c r="D87" s="40"/>
      <c r="E87" s="24">
        <v>222275807</v>
      </c>
      <c r="F87" s="40"/>
      <c r="G87" s="24">
        <v>99999128</v>
      </c>
      <c r="H87" s="40"/>
      <c r="I87" s="24">
        <v>112559092</v>
      </c>
      <c r="J87" s="40"/>
      <c r="K87" s="24">
        <v>8175212</v>
      </c>
      <c r="L87" s="40"/>
      <c r="M87" s="24">
        <v>77403963</v>
      </c>
      <c r="N87" s="40"/>
      <c r="O87" s="40">
        <v>8756029</v>
      </c>
      <c r="P87" s="40"/>
      <c r="Q87" s="40">
        <v>2954489</v>
      </c>
      <c r="R87" s="40"/>
      <c r="S87" s="40">
        <v>12427022</v>
      </c>
      <c r="T87" s="40"/>
      <c r="U87" s="40">
        <f t="shared" si="4"/>
        <v>109716715</v>
      </c>
      <c r="V87" s="40"/>
      <c r="W87" s="26"/>
      <c r="AA87" s="96">
        <f t="shared" si="3"/>
        <v>0</v>
      </c>
    </row>
    <row r="88" spans="1:27" ht="12.75" customHeight="1">
      <c r="A88" s="23" t="s">
        <v>74</v>
      </c>
      <c r="B88" s="23"/>
      <c r="C88" s="24">
        <f>183875896+1875302+2020643</f>
        <v>187771841</v>
      </c>
      <c r="D88" s="40"/>
      <c r="E88" s="24">
        <v>368409055</v>
      </c>
      <c r="F88" s="40"/>
      <c r="G88" s="24">
        <v>149930443</v>
      </c>
      <c r="H88" s="40"/>
      <c r="I88" s="24">
        <v>173692629</v>
      </c>
      <c r="J88" s="40"/>
      <c r="K88" s="24">
        <v>3187433</v>
      </c>
      <c r="L88" s="40"/>
      <c r="M88" s="24">
        <v>3139175</v>
      </c>
      <c r="N88" s="40"/>
      <c r="O88" s="40">
        <v>4267011</v>
      </c>
      <c r="P88" s="40"/>
      <c r="Q88" s="40">
        <v>6046857</v>
      </c>
      <c r="R88" s="40"/>
      <c r="S88" s="40">
        <f>21391211+4732269</f>
        <v>26123480</v>
      </c>
      <c r="T88" s="40"/>
      <c r="U88" s="40">
        <f t="shared" si="4"/>
        <v>42763956</v>
      </c>
      <c r="V88" s="40"/>
      <c r="W88" s="26"/>
      <c r="AA88" s="96">
        <f t="shared" si="3"/>
        <v>151952470</v>
      </c>
    </row>
    <row r="89" spans="1:27" ht="12.75" customHeight="1">
      <c r="A89" s="23" t="s">
        <v>75</v>
      </c>
      <c r="B89" s="23"/>
      <c r="C89" s="24">
        <f>62113534+465867+48039+478580</f>
        <v>63106020</v>
      </c>
      <c r="D89" s="40"/>
      <c r="E89" s="24">
        <v>129508838</v>
      </c>
      <c r="F89" s="40"/>
      <c r="G89" s="24">
        <v>58670406</v>
      </c>
      <c r="H89" s="40"/>
      <c r="I89" s="24">
        <v>64346033</v>
      </c>
      <c r="J89" s="40"/>
      <c r="K89" s="24">
        <v>2503640</v>
      </c>
      <c r="L89" s="40"/>
      <c r="M89" s="24">
        <v>58358362</v>
      </c>
      <c r="N89" s="40"/>
      <c r="O89" s="40">
        <v>2017121</v>
      </c>
      <c r="P89" s="40"/>
      <c r="Q89" s="25">
        <v>0</v>
      </c>
      <c r="R89" s="40"/>
      <c r="S89" s="40">
        <v>2283682</v>
      </c>
      <c r="T89" s="40"/>
      <c r="U89" s="40">
        <f>SUM(K89:S89)</f>
        <v>65162805</v>
      </c>
      <c r="V89" s="40"/>
      <c r="W89" s="26"/>
      <c r="AA89" s="96">
        <f t="shared" si="3"/>
        <v>0</v>
      </c>
    </row>
    <row r="90" spans="1:27" ht="12.75" customHeight="1">
      <c r="A90" s="23" t="s">
        <v>76</v>
      </c>
      <c r="B90" s="23"/>
      <c r="C90" s="24">
        <f>31919694+126829+1866895</f>
        <v>33913418</v>
      </c>
      <c r="D90" s="40"/>
      <c r="E90" s="24">
        <v>59338241</v>
      </c>
      <c r="F90" s="40"/>
      <c r="G90" s="24">
        <v>14691159</v>
      </c>
      <c r="H90" s="40"/>
      <c r="I90" s="24">
        <v>19222757</v>
      </c>
      <c r="J90" s="40"/>
      <c r="K90" s="24">
        <v>2610122</v>
      </c>
      <c r="L90" s="40"/>
      <c r="M90" s="24">
        <v>25737094</v>
      </c>
      <c r="N90" s="40"/>
      <c r="O90" s="40">
        <v>1411361</v>
      </c>
      <c r="P90" s="40"/>
      <c r="Q90" s="40">
        <v>20167</v>
      </c>
      <c r="R90" s="40"/>
      <c r="S90" s="40">
        <v>10336740</v>
      </c>
      <c r="T90" s="40"/>
      <c r="U90" s="40">
        <f t="shared" si="4"/>
        <v>40115484</v>
      </c>
      <c r="V90" s="40"/>
      <c r="W90" s="26"/>
      <c r="AA90" s="96">
        <f t="shared" si="3"/>
        <v>0</v>
      </c>
    </row>
    <row r="91" spans="1:27" ht="12.75" customHeight="1">
      <c r="A91" s="23" t="s">
        <v>77</v>
      </c>
      <c r="B91" s="23"/>
      <c r="C91" s="24">
        <f>28843795+1574931</f>
        <v>30418726</v>
      </c>
      <c r="D91" s="40"/>
      <c r="E91" s="24">
        <v>52371166</v>
      </c>
      <c r="F91" s="40"/>
      <c r="G91" s="24">
        <v>6057254</v>
      </c>
      <c r="H91" s="40"/>
      <c r="I91" s="24">
        <v>22017139</v>
      </c>
      <c r="J91" s="40"/>
      <c r="K91" s="24">
        <v>1931589</v>
      </c>
      <c r="L91" s="40"/>
      <c r="M91" s="24">
        <v>21392257</v>
      </c>
      <c r="N91" s="40"/>
      <c r="O91" s="40">
        <v>184777</v>
      </c>
      <c r="P91" s="40"/>
      <c r="Q91" s="40">
        <v>2256360</v>
      </c>
      <c r="R91" s="40"/>
      <c r="S91" s="40">
        <v>4589044</v>
      </c>
      <c r="T91" s="40"/>
      <c r="U91" s="40">
        <f>SUM(K91:S91)</f>
        <v>30354027</v>
      </c>
      <c r="V91" s="40"/>
      <c r="W91" s="26"/>
      <c r="AA91" s="96">
        <f t="shared" si="3"/>
        <v>0</v>
      </c>
    </row>
    <row r="92" spans="1:27" ht="12.75" customHeight="1">
      <c r="A92" s="23" t="s">
        <v>78</v>
      </c>
      <c r="B92" s="23"/>
      <c r="C92" s="24">
        <f>8215980+52708+142+299492</f>
        <v>8568322</v>
      </c>
      <c r="D92" s="40"/>
      <c r="E92" s="24">
        <v>18677065</v>
      </c>
      <c r="F92" s="40"/>
      <c r="G92" s="24">
        <v>8373855</v>
      </c>
      <c r="H92" s="40"/>
      <c r="I92" s="24">
        <v>9882093</v>
      </c>
      <c r="J92" s="40"/>
      <c r="K92" s="24">
        <v>793281</v>
      </c>
      <c r="L92" s="40"/>
      <c r="M92" s="24">
        <v>6878718</v>
      </c>
      <c r="N92" s="40"/>
      <c r="O92" s="40">
        <v>33005</v>
      </c>
      <c r="P92" s="40"/>
      <c r="Q92" s="40">
        <v>180648</v>
      </c>
      <c r="R92" s="40"/>
      <c r="S92" s="40">
        <v>909320</v>
      </c>
      <c r="T92" s="40"/>
      <c r="U92" s="40">
        <f t="shared" si="4"/>
        <v>8794972</v>
      </c>
      <c r="V92" s="40"/>
      <c r="W92" s="26"/>
      <c r="AA92" s="96">
        <f t="shared" si="3"/>
        <v>0</v>
      </c>
    </row>
    <row r="93" spans="1:27" ht="12.75" customHeight="1" hidden="1">
      <c r="A93" s="23" t="s">
        <v>79</v>
      </c>
      <c r="B93" s="23"/>
      <c r="C93" s="24"/>
      <c r="D93" s="40"/>
      <c r="E93" s="24"/>
      <c r="F93" s="40"/>
      <c r="G93" s="24"/>
      <c r="H93" s="40"/>
      <c r="I93" s="24"/>
      <c r="J93" s="40"/>
      <c r="K93" s="24"/>
      <c r="L93" s="40"/>
      <c r="M93" s="24"/>
      <c r="N93" s="40"/>
      <c r="O93" s="40"/>
      <c r="P93" s="40"/>
      <c r="Q93" s="40"/>
      <c r="R93" s="40"/>
      <c r="S93" s="40"/>
      <c r="T93" s="40"/>
      <c r="U93" s="40">
        <f t="shared" si="4"/>
        <v>0</v>
      </c>
      <c r="V93" s="40"/>
      <c r="W93" s="26"/>
      <c r="AA93" s="96">
        <f t="shared" si="3"/>
        <v>0</v>
      </c>
    </row>
    <row r="94" spans="1:27" ht="12.75" customHeight="1">
      <c r="A94" s="23" t="s">
        <v>80</v>
      </c>
      <c r="B94" s="23"/>
      <c r="C94" s="24">
        <f>106517666+5253489</f>
        <v>111771155</v>
      </c>
      <c r="D94" s="40"/>
      <c r="E94" s="24">
        <v>192985415</v>
      </c>
      <c r="F94" s="40"/>
      <c r="G94" s="24">
        <v>66901094</v>
      </c>
      <c r="H94" s="40"/>
      <c r="I94" s="24">
        <v>78061131</v>
      </c>
      <c r="J94" s="40"/>
      <c r="K94" s="24">
        <v>1249595</v>
      </c>
      <c r="L94" s="40"/>
      <c r="M94" s="24">
        <v>77898965</v>
      </c>
      <c r="N94" s="40"/>
      <c r="O94" s="40">
        <v>2625739</v>
      </c>
      <c r="P94" s="40"/>
      <c r="Q94" s="40">
        <v>6374050</v>
      </c>
      <c r="R94" s="40"/>
      <c r="S94" s="40">
        <v>26775935</v>
      </c>
      <c r="T94" s="40"/>
      <c r="U94" s="40">
        <f t="shared" si="4"/>
        <v>114924284</v>
      </c>
      <c r="V94" s="40"/>
      <c r="W94" s="26"/>
      <c r="AA94" s="96">
        <f t="shared" si="3"/>
        <v>0</v>
      </c>
    </row>
    <row r="95" spans="1:27" ht="12.75" customHeight="1">
      <c r="A95" s="23" t="s">
        <v>81</v>
      </c>
      <c r="B95" s="23"/>
      <c r="C95" s="24">
        <f>26051300+51391+408218+57451</f>
        <v>26568360</v>
      </c>
      <c r="D95" s="40"/>
      <c r="E95" s="24">
        <v>45188061</v>
      </c>
      <c r="F95" s="40"/>
      <c r="G95" s="24">
        <v>14153628</v>
      </c>
      <c r="H95" s="40"/>
      <c r="I95" s="24">
        <v>16472200</v>
      </c>
      <c r="J95" s="40"/>
      <c r="K95" s="24">
        <v>876148</v>
      </c>
      <c r="L95" s="40"/>
      <c r="M95" s="24">
        <v>16792434</v>
      </c>
      <c r="N95" s="40"/>
      <c r="O95" s="40">
        <v>2611952</v>
      </c>
      <c r="P95" s="40"/>
      <c r="Q95" s="40">
        <v>277729</v>
      </c>
      <c r="R95" s="40"/>
      <c r="S95" s="40">
        <v>8157598</v>
      </c>
      <c r="T95" s="40"/>
      <c r="U95" s="40">
        <f t="shared" si="4"/>
        <v>28715861</v>
      </c>
      <c r="V95" s="40"/>
      <c r="W95" s="26"/>
      <c r="AA95" s="96">
        <f t="shared" si="3"/>
        <v>0</v>
      </c>
    </row>
    <row r="96" spans="1:27" ht="12.75" customHeight="1">
      <c r="A96" s="23" t="s">
        <v>82</v>
      </c>
      <c r="B96" s="23"/>
      <c r="C96" s="24">
        <f>36194946+119139+107104</f>
        <v>36421189</v>
      </c>
      <c r="D96" s="40"/>
      <c r="E96" s="24">
        <v>60024809</v>
      </c>
      <c r="F96" s="40"/>
      <c r="G96" s="24">
        <v>18545633</v>
      </c>
      <c r="H96" s="40"/>
      <c r="I96" s="24">
        <v>22356888</v>
      </c>
      <c r="J96" s="40"/>
      <c r="K96" s="24">
        <v>968771</v>
      </c>
      <c r="L96" s="40"/>
      <c r="M96" s="24">
        <v>27306861</v>
      </c>
      <c r="N96" s="40"/>
      <c r="O96" s="40">
        <v>1857372</v>
      </c>
      <c r="P96" s="40"/>
      <c r="Q96" s="40">
        <v>1742512</v>
      </c>
      <c r="R96" s="40"/>
      <c r="S96" s="40">
        <v>5792405</v>
      </c>
      <c r="T96" s="40"/>
      <c r="U96" s="40">
        <f t="shared" si="4"/>
        <v>37667921</v>
      </c>
      <c r="V96" s="40"/>
      <c r="W96" s="26"/>
      <c r="AA96" s="96">
        <f t="shared" si="3"/>
        <v>0</v>
      </c>
    </row>
    <row r="97" spans="1:27" ht="12.75" customHeight="1" hidden="1">
      <c r="A97" s="23" t="s">
        <v>173</v>
      </c>
      <c r="B97" s="23"/>
      <c r="C97" s="24"/>
      <c r="D97" s="40"/>
      <c r="E97" s="24"/>
      <c r="F97" s="40"/>
      <c r="G97" s="24"/>
      <c r="H97" s="40"/>
      <c r="I97" s="24"/>
      <c r="J97" s="40"/>
      <c r="K97" s="24"/>
      <c r="L97" s="40"/>
      <c r="M97" s="24"/>
      <c r="N97" s="40"/>
      <c r="O97" s="40"/>
      <c r="P97" s="40"/>
      <c r="Q97" s="40"/>
      <c r="R97" s="40"/>
      <c r="S97" s="40"/>
      <c r="T97" s="40"/>
      <c r="U97" s="40">
        <f t="shared" si="4"/>
        <v>0</v>
      </c>
      <c r="V97" s="40"/>
      <c r="W97" s="26"/>
      <c r="AA97" s="96">
        <f t="shared" si="3"/>
        <v>0</v>
      </c>
    </row>
    <row r="98" spans="1:27" ht="12.75" customHeight="1">
      <c r="A98" s="23" t="s">
        <v>83</v>
      </c>
      <c r="B98" s="23"/>
      <c r="C98" s="24">
        <f>79152444+217804+232951</f>
        <v>79603199</v>
      </c>
      <c r="D98" s="40"/>
      <c r="E98" s="24">
        <v>129589495</v>
      </c>
      <c r="F98" s="40"/>
      <c r="G98" s="24">
        <v>41104794</v>
      </c>
      <c r="H98" s="40"/>
      <c r="I98" s="24">
        <v>48339893</v>
      </c>
      <c r="J98" s="40"/>
      <c r="K98" s="24">
        <v>2721009</v>
      </c>
      <c r="L98" s="40"/>
      <c r="M98" s="24">
        <v>48606352</v>
      </c>
      <c r="N98" s="40"/>
      <c r="O98" s="40">
        <v>13445900</v>
      </c>
      <c r="P98" s="40"/>
      <c r="Q98" s="40">
        <v>0</v>
      </c>
      <c r="R98" s="40"/>
      <c r="S98" s="40">
        <v>16476341</v>
      </c>
      <c r="T98" s="40"/>
      <c r="U98" s="40">
        <f t="shared" si="4"/>
        <v>81249602</v>
      </c>
      <c r="V98" s="40"/>
      <c r="W98" s="26"/>
      <c r="AA98" s="96">
        <f t="shared" si="3"/>
        <v>0</v>
      </c>
    </row>
    <row r="99" spans="1:27" ht="12.75" customHeight="1" hidden="1">
      <c r="A99" s="23" t="s">
        <v>174</v>
      </c>
      <c r="B99" s="23"/>
      <c r="C99" s="24">
        <v>0</v>
      </c>
      <c r="D99" s="24"/>
      <c r="E99" s="24">
        <v>0</v>
      </c>
      <c r="F99" s="24"/>
      <c r="G99" s="24">
        <v>0</v>
      </c>
      <c r="H99" s="24"/>
      <c r="I99" s="24">
        <v>0</v>
      </c>
      <c r="J99" s="24"/>
      <c r="K99" s="24">
        <v>0</v>
      </c>
      <c r="L99" s="24"/>
      <c r="M99" s="24">
        <v>0</v>
      </c>
      <c r="N99" s="24"/>
      <c r="O99" s="24"/>
      <c r="P99" s="24"/>
      <c r="Q99" s="24"/>
      <c r="R99" s="24"/>
      <c r="S99" s="24"/>
      <c r="T99" s="24"/>
      <c r="U99" s="40">
        <f>+M99+K99</f>
        <v>0</v>
      </c>
      <c r="V99" s="24"/>
      <c r="W99" s="26"/>
      <c r="AA99" s="96">
        <f t="shared" si="3"/>
        <v>0</v>
      </c>
    </row>
    <row r="100" spans="1:27" ht="12.75" customHeight="1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6"/>
      <c r="AA100" s="96">
        <f t="shared" si="3"/>
        <v>0</v>
      </c>
    </row>
    <row r="101" spans="1:23" ht="12.75" customHeight="1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3"/>
      <c r="W101" s="26"/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/>
  <printOptions/>
  <pageMargins left="0.75" right="0.75" top="0.5" bottom="0.5" header="0" footer="0.25"/>
  <pageSetup firstPageNumber="20" useFirstPageNumber="1" horizontalDpi="1200" verticalDpi="1200" orientation="portrait" pageOrder="overThenDown" r:id="rId1"/>
  <headerFooter scaleWithDoc="0" alignWithMargins="0">
    <oddFooter>&amp;C&amp;"Times New Roman,Regular"&amp;11&amp;P</oddFooter>
  </headerFooter>
  <rowBreaks count="1" manualBreakCount="1">
    <brk id="80" max="19" man="1"/>
  </rowBreaks>
  <colBreaks count="1" manualBreakCount="1">
    <brk id="12" max="9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113"/>
  <sheetViews>
    <sheetView zoomScaleSheetLayoutView="75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6" sqref="A6"/>
    </sheetView>
  </sheetViews>
  <sheetFormatPr defaultColWidth="9.140625" defaultRowHeight="12" customHeight="1"/>
  <cols>
    <col min="1" max="1" width="15.7109375" style="136" customWidth="1"/>
    <col min="2" max="2" width="1.7109375" style="2" customWidth="1"/>
    <col min="3" max="3" width="11.710937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1.7109375" style="2" customWidth="1"/>
    <col min="12" max="12" width="1.7109375" style="2" hidden="1" customWidth="1"/>
    <col min="13" max="13" width="11.7109375" style="2" customWidth="1"/>
    <col min="14" max="14" width="1.7109375" style="2" customWidth="1"/>
    <col min="15" max="15" width="12.7109375" style="34" customWidth="1"/>
    <col min="16" max="16" width="1.7109375" style="2" customWidth="1"/>
    <col min="17" max="17" width="12.7109375" style="2" customWidth="1"/>
    <col min="19" max="19" width="10.140625" style="0" bestFit="1" customWidth="1"/>
  </cols>
  <sheetData>
    <row r="1" spans="1:19" s="3" customFormat="1" ht="12.75" customHeight="1">
      <c r="A1" s="57" t="s">
        <v>199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0"/>
      <c r="P1" s="7"/>
      <c r="Q1" s="7"/>
      <c r="R1" s="8"/>
      <c r="S1" s="8"/>
    </row>
    <row r="2" spans="1:19" s="3" customFormat="1" ht="12.75" customHeight="1">
      <c r="A2" s="57" t="s">
        <v>251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0"/>
      <c r="P2" s="7"/>
      <c r="Q2" s="7"/>
      <c r="R2" s="8"/>
      <c r="S2" s="8"/>
    </row>
    <row r="3" spans="1:19" s="3" customFormat="1" ht="12.75" customHeight="1">
      <c r="A3" s="49" t="s">
        <v>247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00"/>
      <c r="P3" s="7"/>
      <c r="Q3" s="7"/>
      <c r="R3" s="8"/>
      <c r="S3" s="8"/>
    </row>
    <row r="4" spans="1:19" s="2" customFormat="1" ht="12.75" customHeight="1">
      <c r="A4" s="57" t="s">
        <v>183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9"/>
      <c r="P4" s="6"/>
      <c r="Q4" s="6"/>
      <c r="R4" s="9"/>
      <c r="S4" s="9"/>
    </row>
    <row r="5" spans="1:19" s="2" customFormat="1" ht="12.75" customHeight="1">
      <c r="A5" s="5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9"/>
      <c r="P5" s="6"/>
      <c r="Q5" s="6"/>
      <c r="R5" s="9"/>
      <c r="S5" s="9"/>
    </row>
    <row r="6" spans="1:19" s="2" customFormat="1" ht="12.75" customHeight="1">
      <c r="A6" s="6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9"/>
      <c r="P6" s="4"/>
      <c r="Q6" s="4"/>
      <c r="R6" s="9"/>
      <c r="S6" s="9" t="s">
        <v>163</v>
      </c>
    </row>
    <row r="7" spans="1:19" s="2" customFormat="1" ht="12.75" customHeight="1">
      <c r="A7" s="132"/>
      <c r="B7" s="4"/>
      <c r="C7" s="4" t="s">
        <v>147</v>
      </c>
      <c r="D7" s="4"/>
      <c r="E7" s="4" t="s">
        <v>166</v>
      </c>
      <c r="F7" s="4"/>
      <c r="G7" s="4" t="s">
        <v>163</v>
      </c>
      <c r="H7" s="4"/>
      <c r="I7" s="4" t="s">
        <v>0</v>
      </c>
      <c r="J7" s="4"/>
      <c r="K7" s="4" t="s">
        <v>1</v>
      </c>
      <c r="L7" s="4"/>
      <c r="M7" s="4" t="s">
        <v>2</v>
      </c>
      <c r="N7" s="4"/>
      <c r="O7" s="19" t="s">
        <v>3</v>
      </c>
      <c r="P7" s="4"/>
      <c r="Q7" s="4" t="s">
        <v>4</v>
      </c>
      <c r="R7" s="9"/>
      <c r="S7" s="9" t="s">
        <v>208</v>
      </c>
    </row>
    <row r="8" spans="1:19" s="2" customFormat="1" ht="12.75" customHeight="1">
      <c r="A8" s="133" t="s">
        <v>5</v>
      </c>
      <c r="B8" s="18"/>
      <c r="C8" s="22" t="s">
        <v>227</v>
      </c>
      <c r="D8" s="18"/>
      <c r="E8" s="22" t="s">
        <v>7</v>
      </c>
      <c r="F8" s="18"/>
      <c r="G8" s="22" t="s">
        <v>6</v>
      </c>
      <c r="H8" s="18"/>
      <c r="I8" s="22" t="s">
        <v>8</v>
      </c>
      <c r="J8" s="18"/>
      <c r="K8" s="22" t="s">
        <v>9</v>
      </c>
      <c r="L8" s="18"/>
      <c r="M8" s="22" t="s">
        <v>10</v>
      </c>
      <c r="N8" s="18"/>
      <c r="O8" s="22" t="s">
        <v>11</v>
      </c>
      <c r="P8" s="18"/>
      <c r="Q8" s="22" t="s">
        <v>12</v>
      </c>
      <c r="R8" s="9"/>
      <c r="S8" s="9" t="s">
        <v>209</v>
      </c>
    </row>
    <row r="9" spans="1:19" s="2" customFormat="1" ht="12.75" customHeight="1">
      <c r="A9" s="132"/>
      <c r="B9" s="18"/>
      <c r="C9" s="19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9"/>
      <c r="S9" s="9"/>
    </row>
    <row r="10" spans="1:19" s="2" customFormat="1" ht="12.75" customHeight="1" hidden="1">
      <c r="A10" s="134" t="s">
        <v>235</v>
      </c>
      <c r="B10" s="18"/>
      <c r="C10" s="46">
        <v>4122458</v>
      </c>
      <c r="D10" s="46"/>
      <c r="E10" s="46">
        <v>0</v>
      </c>
      <c r="F10" s="46"/>
      <c r="G10" s="46">
        <v>0</v>
      </c>
      <c r="H10" s="46"/>
      <c r="I10" s="46">
        <v>1328058</v>
      </c>
      <c r="J10" s="46"/>
      <c r="K10" s="46">
        <v>1158674</v>
      </c>
      <c r="L10" s="46"/>
      <c r="M10" s="46">
        <v>0</v>
      </c>
      <c r="N10" s="45"/>
      <c r="O10" s="61">
        <f>1991+173884+47631+447794</f>
        <v>671300</v>
      </c>
      <c r="P10" s="45"/>
      <c r="Q10" s="46">
        <v>7280490</v>
      </c>
      <c r="R10" s="9"/>
      <c r="S10" s="48">
        <v>109552</v>
      </c>
    </row>
    <row r="11" spans="1:19" s="2" customFormat="1" ht="12.75" customHeight="1">
      <c r="A11" s="131" t="s">
        <v>13</v>
      </c>
      <c r="B11" s="18"/>
      <c r="C11" s="46">
        <v>2702552</v>
      </c>
      <c r="D11" s="46"/>
      <c r="E11" s="46">
        <v>13736430</v>
      </c>
      <c r="F11" s="46"/>
      <c r="G11" s="46">
        <v>0</v>
      </c>
      <c r="H11" s="46"/>
      <c r="I11" s="46">
        <v>4426787</v>
      </c>
      <c r="J11" s="46"/>
      <c r="K11" s="46">
        <v>2464187</v>
      </c>
      <c r="L11" s="46"/>
      <c r="M11" s="46">
        <v>0</v>
      </c>
      <c r="N11" s="45"/>
      <c r="O11" s="61">
        <f>Q11-C11-E11-G11-I11-K11-M11</f>
        <v>2015070</v>
      </c>
      <c r="P11" s="45"/>
      <c r="Q11" s="46">
        <v>25345026</v>
      </c>
      <c r="R11" s="9"/>
      <c r="S11" s="46">
        <v>14858</v>
      </c>
    </row>
    <row r="12" spans="1:19" s="2" customFormat="1" ht="12.75" customHeight="1">
      <c r="A12" s="131" t="s">
        <v>14</v>
      </c>
      <c r="B12" s="18"/>
      <c r="C12" s="16">
        <v>2250409</v>
      </c>
      <c r="D12" s="16"/>
      <c r="E12" s="16">
        <v>5080246</v>
      </c>
      <c r="F12" s="16"/>
      <c r="G12" s="16">
        <v>3338</v>
      </c>
      <c r="H12" s="16"/>
      <c r="I12" s="16">
        <v>1672784</v>
      </c>
      <c r="J12" s="16"/>
      <c r="K12" s="16">
        <v>1986039</v>
      </c>
      <c r="L12" s="16"/>
      <c r="M12" s="16">
        <v>0</v>
      </c>
      <c r="N12" s="14"/>
      <c r="O12" s="40">
        <f>Q12-C12-E12-G12-I12-K12-M12</f>
        <v>580356</v>
      </c>
      <c r="P12" s="14"/>
      <c r="Q12" s="16">
        <v>11573172</v>
      </c>
      <c r="R12" s="9"/>
      <c r="S12" s="16">
        <v>10000</v>
      </c>
    </row>
    <row r="13" spans="1:19" s="2" customFormat="1" ht="12.75" customHeight="1">
      <c r="A13" s="131" t="s">
        <v>15</v>
      </c>
      <c r="B13" s="18"/>
      <c r="C13" s="16">
        <v>3467396</v>
      </c>
      <c r="D13" s="16"/>
      <c r="E13" s="16">
        <v>8928466</v>
      </c>
      <c r="F13" s="16"/>
      <c r="G13" s="16">
        <v>0</v>
      </c>
      <c r="H13" s="16"/>
      <c r="I13" s="16">
        <v>4007313</v>
      </c>
      <c r="J13" s="16"/>
      <c r="K13" s="16">
        <v>2437908</v>
      </c>
      <c r="L13" s="16"/>
      <c r="M13" s="16">
        <v>0</v>
      </c>
      <c r="N13" s="14"/>
      <c r="O13" s="40">
        <f aca="true" t="shared" si="0" ref="O13:O71">Q13-C13-E13-G13-I13-K13-M13</f>
        <v>1165268</v>
      </c>
      <c r="P13" s="14"/>
      <c r="Q13" s="16">
        <v>20006351</v>
      </c>
      <c r="R13" s="9"/>
      <c r="S13" s="16">
        <f>135523+9422+966</f>
        <v>145911</v>
      </c>
    </row>
    <row r="14" spans="1:19" s="2" customFormat="1" ht="12.75" customHeight="1" hidden="1">
      <c r="A14" s="131" t="s">
        <v>16</v>
      </c>
      <c r="B14" s="18"/>
      <c r="C14" s="16"/>
      <c r="D14" s="16"/>
      <c r="E14" s="16"/>
      <c r="F14" s="16"/>
      <c r="G14" s="16">
        <v>0</v>
      </c>
      <c r="H14" s="16"/>
      <c r="I14" s="16"/>
      <c r="J14" s="16"/>
      <c r="K14" s="16"/>
      <c r="L14" s="16"/>
      <c r="M14" s="16"/>
      <c r="N14" s="14"/>
      <c r="O14" s="40">
        <f t="shared" si="0"/>
        <v>0</v>
      </c>
      <c r="P14" s="14"/>
      <c r="Q14" s="16"/>
      <c r="R14" s="9"/>
      <c r="S14" s="16"/>
    </row>
    <row r="15" spans="1:19" s="2" customFormat="1" ht="12.75" customHeight="1">
      <c r="A15" s="131" t="s">
        <v>17</v>
      </c>
      <c r="B15" s="18"/>
      <c r="C15" s="16">
        <v>1952046</v>
      </c>
      <c r="D15" s="16"/>
      <c r="E15" s="16">
        <v>6670086</v>
      </c>
      <c r="F15" s="16"/>
      <c r="G15" s="16">
        <v>0</v>
      </c>
      <c r="H15" s="16"/>
      <c r="I15" s="16">
        <v>1179455</v>
      </c>
      <c r="J15" s="16"/>
      <c r="K15" s="16">
        <v>1431320</v>
      </c>
      <c r="L15" s="16"/>
      <c r="M15" s="16">
        <v>0</v>
      </c>
      <c r="N15" s="14"/>
      <c r="O15" s="40">
        <f t="shared" si="0"/>
        <v>848308</v>
      </c>
      <c r="P15" s="14"/>
      <c r="Q15" s="16">
        <v>12081215</v>
      </c>
      <c r="R15" s="9"/>
      <c r="S15" s="16">
        <f>34473+25860+2171</f>
        <v>62504</v>
      </c>
    </row>
    <row r="16" spans="1:19" s="2" customFormat="1" ht="12.75" customHeight="1">
      <c r="A16" s="131" t="s">
        <v>18</v>
      </c>
      <c r="B16" s="18"/>
      <c r="C16" s="16">
        <v>2148335</v>
      </c>
      <c r="D16" s="16"/>
      <c r="E16" s="16">
        <v>11904165</v>
      </c>
      <c r="F16" s="16"/>
      <c r="G16" s="16">
        <v>0</v>
      </c>
      <c r="H16" s="16"/>
      <c r="I16" s="16">
        <v>2383731</v>
      </c>
      <c r="J16" s="16"/>
      <c r="K16" s="16">
        <v>1158363</v>
      </c>
      <c r="L16" s="16"/>
      <c r="M16" s="16">
        <v>0</v>
      </c>
      <c r="N16" s="14"/>
      <c r="O16" s="40">
        <f t="shared" si="0"/>
        <v>1429092</v>
      </c>
      <c r="P16" s="14"/>
      <c r="Q16" s="16">
        <v>19023686</v>
      </c>
      <c r="R16" s="9"/>
      <c r="S16" s="16">
        <f>30142+74460</f>
        <v>104602</v>
      </c>
    </row>
    <row r="17" spans="1:19" s="2" customFormat="1" ht="12.75" customHeight="1" hidden="1">
      <c r="A17" s="131" t="s">
        <v>238</v>
      </c>
      <c r="B17" s="18"/>
      <c r="C17" s="16"/>
      <c r="D17" s="16"/>
      <c r="E17" s="16"/>
      <c r="F17" s="16"/>
      <c r="G17" s="16">
        <v>0</v>
      </c>
      <c r="H17" s="16"/>
      <c r="I17" s="16"/>
      <c r="J17" s="16"/>
      <c r="K17" s="16"/>
      <c r="L17" s="16"/>
      <c r="M17" s="16"/>
      <c r="N17" s="14"/>
      <c r="O17" s="40">
        <f t="shared" si="0"/>
        <v>0</v>
      </c>
      <c r="P17" s="14"/>
      <c r="Q17" s="16"/>
      <c r="R17" s="9"/>
      <c r="S17" s="16"/>
    </row>
    <row r="18" spans="1:19" s="2" customFormat="1" ht="12.75" customHeight="1">
      <c r="A18" s="131" t="s">
        <v>246</v>
      </c>
      <c r="B18" s="18"/>
      <c r="C18" s="16">
        <v>12887045</v>
      </c>
      <c r="D18" s="16"/>
      <c r="E18" s="16">
        <v>33161633</v>
      </c>
      <c r="F18" s="16"/>
      <c r="G18" s="16">
        <v>0</v>
      </c>
      <c r="H18" s="16"/>
      <c r="I18" s="16">
        <v>16691626</v>
      </c>
      <c r="J18" s="16"/>
      <c r="K18" s="16">
        <v>7981630</v>
      </c>
      <c r="L18" s="16"/>
      <c r="M18" s="16">
        <v>5021</v>
      </c>
      <c r="N18" s="14"/>
      <c r="O18" s="40">
        <f t="shared" si="0"/>
        <v>5569450</v>
      </c>
      <c r="P18" s="14"/>
      <c r="Q18" s="16">
        <v>76296405</v>
      </c>
      <c r="R18" s="9"/>
      <c r="S18" s="16">
        <f>3264+1154197</f>
        <v>1157461</v>
      </c>
    </row>
    <row r="19" spans="1:19" s="2" customFormat="1" ht="12.75" customHeight="1">
      <c r="A19" s="131" t="s">
        <v>20</v>
      </c>
      <c r="B19" s="18"/>
      <c r="C19" s="16">
        <v>1575909</v>
      </c>
      <c r="D19" s="16"/>
      <c r="E19" s="16">
        <v>2009558</v>
      </c>
      <c r="F19" s="16"/>
      <c r="G19" s="16">
        <v>0</v>
      </c>
      <c r="H19" s="16"/>
      <c r="I19" s="16">
        <v>1288302</v>
      </c>
      <c r="J19" s="16"/>
      <c r="K19" s="16">
        <v>751923</v>
      </c>
      <c r="L19" s="16"/>
      <c r="M19" s="16">
        <v>0</v>
      </c>
      <c r="N19" s="14"/>
      <c r="O19" s="40">
        <f t="shared" si="0"/>
        <v>551617</v>
      </c>
      <c r="P19" s="14"/>
      <c r="Q19" s="16">
        <v>6177309</v>
      </c>
      <c r="R19" s="9"/>
      <c r="S19" s="16">
        <v>6727</v>
      </c>
    </row>
    <row r="20" spans="1:19" s="2" customFormat="1" ht="12.75" customHeight="1" hidden="1">
      <c r="A20" s="131" t="s">
        <v>171</v>
      </c>
      <c r="B20" s="18"/>
      <c r="C20" s="16"/>
      <c r="D20" s="16"/>
      <c r="E20" s="16"/>
      <c r="F20" s="16"/>
      <c r="G20" s="16">
        <v>0</v>
      </c>
      <c r="H20" s="16"/>
      <c r="I20" s="16"/>
      <c r="J20" s="16"/>
      <c r="K20" s="16"/>
      <c r="L20" s="16"/>
      <c r="M20" s="16">
        <v>0</v>
      </c>
      <c r="N20" s="14"/>
      <c r="O20" s="40">
        <f t="shared" si="0"/>
        <v>0</v>
      </c>
      <c r="P20" s="14"/>
      <c r="Q20" s="16"/>
      <c r="R20" s="9"/>
      <c r="S20" s="16"/>
    </row>
    <row r="21" spans="1:19" s="2" customFormat="1" ht="12.75" customHeight="1">
      <c r="A21" s="131" t="s">
        <v>21</v>
      </c>
      <c r="B21" s="18"/>
      <c r="C21" s="16">
        <v>3335928</v>
      </c>
      <c r="D21" s="16"/>
      <c r="E21" s="16">
        <v>20374885</v>
      </c>
      <c r="F21" s="16"/>
      <c r="G21" s="16">
        <v>0</v>
      </c>
      <c r="H21" s="16"/>
      <c r="I21" s="16">
        <v>5697441</v>
      </c>
      <c r="J21" s="16"/>
      <c r="K21" s="16">
        <v>5708692</v>
      </c>
      <c r="L21" s="16"/>
      <c r="M21" s="16">
        <v>0</v>
      </c>
      <c r="N21" s="14"/>
      <c r="O21" s="40">
        <f t="shared" si="0"/>
        <v>2096425</v>
      </c>
      <c r="P21" s="14"/>
      <c r="Q21" s="16">
        <v>37213371</v>
      </c>
      <c r="R21" s="9"/>
      <c r="S21" s="16">
        <v>6980</v>
      </c>
    </row>
    <row r="22" spans="1:19" s="2" customFormat="1" ht="12.75" customHeight="1">
      <c r="A22" s="131" t="s">
        <v>180</v>
      </c>
      <c r="B22" s="18"/>
      <c r="C22" s="16">
        <v>8383295</v>
      </c>
      <c r="D22" s="16"/>
      <c r="E22" s="16">
        <v>21036560</v>
      </c>
      <c r="F22" s="16"/>
      <c r="G22" s="16">
        <v>0</v>
      </c>
      <c r="H22" s="16"/>
      <c r="I22" s="16">
        <v>11592253</v>
      </c>
      <c r="J22" s="16"/>
      <c r="K22" s="16">
        <v>4273801</v>
      </c>
      <c r="L22" s="16"/>
      <c r="M22" s="16">
        <v>0</v>
      </c>
      <c r="N22" s="14"/>
      <c r="O22" s="40">
        <f t="shared" si="0"/>
        <v>5651677</v>
      </c>
      <c r="P22" s="14"/>
      <c r="Q22" s="16">
        <v>50937586</v>
      </c>
      <c r="R22" s="9"/>
      <c r="S22" s="16">
        <f>484546+42092</f>
        <v>526638</v>
      </c>
    </row>
    <row r="23" spans="1:19" s="2" customFormat="1" ht="12.75" customHeight="1">
      <c r="A23" s="131" t="s">
        <v>22</v>
      </c>
      <c r="B23" s="18"/>
      <c r="C23" s="16">
        <v>1741967</v>
      </c>
      <c r="D23" s="16"/>
      <c r="E23" s="16">
        <v>6589777</v>
      </c>
      <c r="F23" s="16"/>
      <c r="G23" s="16">
        <v>0</v>
      </c>
      <c r="H23" s="16"/>
      <c r="I23" s="16">
        <v>1891912</v>
      </c>
      <c r="J23" s="16"/>
      <c r="K23" s="16">
        <v>1136142</v>
      </c>
      <c r="L23" s="16"/>
      <c r="M23" s="16">
        <v>0</v>
      </c>
      <c r="N23" s="14"/>
      <c r="O23" s="40">
        <f t="shared" si="0"/>
        <v>1726601</v>
      </c>
      <c r="P23" s="14"/>
      <c r="Q23" s="16">
        <v>13086399</v>
      </c>
      <c r="R23" s="9"/>
      <c r="S23" s="16">
        <f>190000+1914046+1075988</f>
        <v>3180034</v>
      </c>
    </row>
    <row r="24" spans="1:19" s="2" customFormat="1" ht="12.75" customHeight="1" hidden="1">
      <c r="A24" s="131" t="s">
        <v>179</v>
      </c>
      <c r="B24" s="18"/>
      <c r="C24" s="16"/>
      <c r="D24" s="16"/>
      <c r="E24" s="16">
        <v>13185196</v>
      </c>
      <c r="F24" s="16"/>
      <c r="G24" s="16">
        <v>0</v>
      </c>
      <c r="H24" s="16"/>
      <c r="I24" s="16">
        <v>2720007</v>
      </c>
      <c r="J24" s="16"/>
      <c r="K24" s="16">
        <v>2234948</v>
      </c>
      <c r="L24" s="16"/>
      <c r="M24" s="16">
        <v>0</v>
      </c>
      <c r="N24" s="14"/>
      <c r="O24" s="40">
        <f>Q24-C24-E24-G24-I24-K24-M24</f>
        <v>1624553</v>
      </c>
      <c r="P24" s="14"/>
      <c r="Q24" s="16">
        <v>19764704</v>
      </c>
      <c r="R24" s="9"/>
      <c r="S24" s="16">
        <f>260518+50847</f>
        <v>311365</v>
      </c>
    </row>
    <row r="25" spans="1:19" s="2" customFormat="1" ht="12.75" customHeight="1">
      <c r="A25" s="131" t="s">
        <v>24</v>
      </c>
      <c r="B25" s="18"/>
      <c r="C25" s="16">
        <v>1469388</v>
      </c>
      <c r="D25" s="16"/>
      <c r="E25" s="16">
        <v>4460643</v>
      </c>
      <c r="F25" s="16"/>
      <c r="G25" s="16">
        <v>0</v>
      </c>
      <c r="H25" s="16"/>
      <c r="I25" s="16">
        <v>1236587</v>
      </c>
      <c r="J25" s="16"/>
      <c r="K25" s="16">
        <v>1173012</v>
      </c>
      <c r="L25" s="16"/>
      <c r="M25" s="16">
        <v>0</v>
      </c>
      <c r="N25" s="14"/>
      <c r="O25" s="40">
        <f>Q25-C25-E25-G25-I25-K25-M25</f>
        <v>900460</v>
      </c>
      <c r="P25" s="14"/>
      <c r="Q25" s="16">
        <v>9240090</v>
      </c>
      <c r="R25" s="9"/>
      <c r="S25" s="16">
        <v>553014</v>
      </c>
    </row>
    <row r="26" spans="1:19" s="2" customFormat="1" ht="12.75" customHeight="1">
      <c r="A26" s="131" t="s">
        <v>241</v>
      </c>
      <c r="B26" s="18"/>
      <c r="C26" s="16">
        <v>1211442</v>
      </c>
      <c r="D26" s="16"/>
      <c r="E26" s="16">
        <v>3193071</v>
      </c>
      <c r="F26" s="16"/>
      <c r="G26" s="16">
        <v>0</v>
      </c>
      <c r="H26" s="16"/>
      <c r="I26" s="16">
        <v>9335955</v>
      </c>
      <c r="J26" s="16"/>
      <c r="K26" s="16">
        <v>1463091</v>
      </c>
      <c r="L26" s="16"/>
      <c r="M26" s="16">
        <v>0</v>
      </c>
      <c r="N26" s="14"/>
      <c r="O26" s="40">
        <f t="shared" si="0"/>
        <v>457217</v>
      </c>
      <c r="P26" s="14"/>
      <c r="Q26" s="16">
        <v>15660776</v>
      </c>
      <c r="R26" s="9"/>
      <c r="S26" s="16">
        <v>0</v>
      </c>
    </row>
    <row r="27" spans="1:19" s="2" customFormat="1" ht="12.75" customHeight="1" hidden="1">
      <c r="A27" s="131" t="s">
        <v>25</v>
      </c>
      <c r="B27" s="18"/>
      <c r="C27" s="16"/>
      <c r="D27" s="16"/>
      <c r="E27" s="16"/>
      <c r="F27" s="16"/>
      <c r="G27" s="16">
        <v>0</v>
      </c>
      <c r="H27" s="16"/>
      <c r="I27" s="16"/>
      <c r="J27" s="16"/>
      <c r="K27" s="16"/>
      <c r="L27" s="16"/>
      <c r="M27" s="16">
        <v>0</v>
      </c>
      <c r="N27" s="14"/>
      <c r="O27" s="40">
        <f t="shared" si="0"/>
        <v>0</v>
      </c>
      <c r="P27" s="14"/>
      <c r="Q27" s="16"/>
      <c r="R27" s="9"/>
      <c r="S27" s="16"/>
    </row>
    <row r="28" spans="1:19" s="2" customFormat="1" ht="12.75" customHeight="1" hidden="1">
      <c r="A28" s="131" t="s">
        <v>26</v>
      </c>
      <c r="B28" s="18"/>
      <c r="C28" s="16">
        <v>2473342</v>
      </c>
      <c r="D28" s="16"/>
      <c r="E28" s="16">
        <v>6761750</v>
      </c>
      <c r="F28" s="16"/>
      <c r="G28" s="16">
        <v>0</v>
      </c>
      <c r="H28" s="16"/>
      <c r="I28" s="16">
        <v>1638912</v>
      </c>
      <c r="J28" s="16"/>
      <c r="K28" s="16">
        <v>1353614</v>
      </c>
      <c r="L28" s="16"/>
      <c r="M28" s="16">
        <v>0</v>
      </c>
      <c r="N28" s="14"/>
      <c r="O28" s="40">
        <f t="shared" si="0"/>
        <v>1115807</v>
      </c>
      <c r="P28" s="14"/>
      <c r="Q28" s="16">
        <v>13343425</v>
      </c>
      <c r="R28" s="9"/>
      <c r="S28" s="16">
        <f>120100+74655+7302</f>
        <v>202057</v>
      </c>
    </row>
    <row r="29" spans="1:19" s="2" customFormat="1" ht="12.75" customHeight="1">
      <c r="A29" s="131" t="s">
        <v>27</v>
      </c>
      <c r="B29" s="18"/>
      <c r="C29" s="16">
        <v>1589177</v>
      </c>
      <c r="D29" s="16"/>
      <c r="E29" s="16">
        <v>4926306</v>
      </c>
      <c r="F29" s="16"/>
      <c r="G29" s="16">
        <v>0</v>
      </c>
      <c r="H29" s="16"/>
      <c r="I29" s="16">
        <v>1073171</v>
      </c>
      <c r="J29" s="16"/>
      <c r="K29" s="16">
        <v>1240953</v>
      </c>
      <c r="L29" s="16"/>
      <c r="M29" s="16">
        <v>0</v>
      </c>
      <c r="N29" s="14"/>
      <c r="O29" s="40">
        <f t="shared" si="0"/>
        <v>1554906</v>
      </c>
      <c r="P29" s="14"/>
      <c r="Q29" s="16">
        <v>10384513</v>
      </c>
      <c r="R29" s="9"/>
      <c r="S29" s="16">
        <v>935</v>
      </c>
    </row>
    <row r="30" spans="1:19" s="2" customFormat="1" ht="12.75" customHeight="1">
      <c r="A30" s="131" t="s">
        <v>28</v>
      </c>
      <c r="B30" s="18"/>
      <c r="C30" s="16">
        <v>10084628</v>
      </c>
      <c r="D30" s="16"/>
      <c r="E30" s="16">
        <v>41361429</v>
      </c>
      <c r="F30" s="16"/>
      <c r="G30" s="16">
        <v>0</v>
      </c>
      <c r="H30" s="16"/>
      <c r="I30" s="16">
        <v>11542938</v>
      </c>
      <c r="J30" s="16"/>
      <c r="K30" s="16">
        <v>4306776</v>
      </c>
      <c r="L30" s="16"/>
      <c r="M30" s="16">
        <v>0</v>
      </c>
      <c r="N30" s="14"/>
      <c r="O30" s="40">
        <f t="shared" si="0"/>
        <v>4069373</v>
      </c>
      <c r="P30" s="14"/>
      <c r="Q30" s="16">
        <v>71365144</v>
      </c>
      <c r="R30" s="9"/>
      <c r="S30" s="16">
        <v>3620476</v>
      </c>
    </row>
    <row r="31" spans="1:19" s="2" customFormat="1" ht="12.75" customHeight="1">
      <c r="A31" s="131" t="s">
        <v>29</v>
      </c>
      <c r="B31" s="18"/>
      <c r="C31" s="16">
        <v>4223740</v>
      </c>
      <c r="D31" s="16"/>
      <c r="E31" s="16">
        <v>13369498</v>
      </c>
      <c r="F31" s="16"/>
      <c r="G31" s="16">
        <v>0</v>
      </c>
      <c r="H31" s="16"/>
      <c r="I31" s="16">
        <v>2854726</v>
      </c>
      <c r="J31" s="16"/>
      <c r="K31" s="16">
        <v>2732848</v>
      </c>
      <c r="L31" s="16"/>
      <c r="M31" s="16">
        <v>0</v>
      </c>
      <c r="N31" s="14"/>
      <c r="O31" s="40">
        <f t="shared" si="0"/>
        <v>2611796</v>
      </c>
      <c r="P31" s="14"/>
      <c r="Q31" s="16">
        <v>25792608</v>
      </c>
      <c r="R31" s="9"/>
      <c r="S31" s="16">
        <f>3416+16800</f>
        <v>20216</v>
      </c>
    </row>
    <row r="32" spans="1:19" s="2" customFormat="1" ht="12.75" customHeight="1">
      <c r="A32" s="131" t="s">
        <v>30</v>
      </c>
      <c r="B32" s="18"/>
      <c r="C32" s="16">
        <v>7404042</v>
      </c>
      <c r="D32" s="16"/>
      <c r="E32" s="16">
        <v>16824829</v>
      </c>
      <c r="F32" s="16"/>
      <c r="G32" s="16">
        <v>0</v>
      </c>
      <c r="H32" s="16"/>
      <c r="I32" s="16">
        <v>5953064</v>
      </c>
      <c r="J32" s="16"/>
      <c r="K32" s="16">
        <v>3839403</v>
      </c>
      <c r="L32" s="16"/>
      <c r="M32" s="16">
        <v>0</v>
      </c>
      <c r="N32" s="14"/>
      <c r="O32" s="40">
        <f t="shared" si="0"/>
        <v>2113822</v>
      </c>
      <c r="P32" s="14"/>
      <c r="Q32" s="16">
        <v>36135160</v>
      </c>
      <c r="R32" s="9"/>
      <c r="S32" s="16">
        <f>11875+45000+20325</f>
        <v>77200</v>
      </c>
    </row>
    <row r="33" spans="1:19" s="2" customFormat="1" ht="12.75" customHeight="1" hidden="1">
      <c r="A33" s="131" t="s">
        <v>237</v>
      </c>
      <c r="B33" s="18"/>
      <c r="C33" s="16"/>
      <c r="D33" s="16"/>
      <c r="E33" s="16"/>
      <c r="F33" s="16"/>
      <c r="G33" s="16">
        <v>0</v>
      </c>
      <c r="H33" s="16"/>
      <c r="I33" s="16"/>
      <c r="J33" s="16"/>
      <c r="K33" s="16"/>
      <c r="L33" s="16"/>
      <c r="M33" s="16">
        <v>0</v>
      </c>
      <c r="N33" s="14"/>
      <c r="O33" s="40">
        <f t="shared" si="0"/>
        <v>0</v>
      </c>
      <c r="P33" s="14"/>
      <c r="Q33" s="16"/>
      <c r="R33" s="9"/>
      <c r="S33" s="16"/>
    </row>
    <row r="34" spans="1:19" s="2" customFormat="1" ht="12.75" customHeight="1">
      <c r="A34" s="131" t="s">
        <v>32</v>
      </c>
      <c r="B34" s="18"/>
      <c r="C34" s="16">
        <v>39131000</v>
      </c>
      <c r="D34" s="16"/>
      <c r="E34" s="16">
        <v>137115000</v>
      </c>
      <c r="F34" s="16"/>
      <c r="G34" s="16">
        <v>0</v>
      </c>
      <c r="H34" s="16"/>
      <c r="I34" s="16">
        <v>52185000</v>
      </c>
      <c r="J34" s="16"/>
      <c r="K34" s="16">
        <v>37118000</v>
      </c>
      <c r="L34" s="16"/>
      <c r="M34" s="16">
        <v>0</v>
      </c>
      <c r="N34" s="14"/>
      <c r="O34" s="40">
        <f t="shared" si="0"/>
        <v>20328000</v>
      </c>
      <c r="P34" s="14"/>
      <c r="Q34" s="16">
        <v>285877000</v>
      </c>
      <c r="R34" s="9"/>
      <c r="S34" s="130">
        <f>200000+13000</f>
        <v>213000</v>
      </c>
    </row>
    <row r="35" spans="1:19" s="2" customFormat="1" ht="12.75" customHeight="1">
      <c r="A35" s="131" t="s">
        <v>33</v>
      </c>
      <c r="B35" s="18"/>
      <c r="C35" s="16">
        <v>1538071</v>
      </c>
      <c r="D35" s="16"/>
      <c r="E35" s="16">
        <v>6142580</v>
      </c>
      <c r="F35" s="16"/>
      <c r="G35" s="16">
        <v>0</v>
      </c>
      <c r="H35" s="16"/>
      <c r="I35" s="16">
        <v>1921343</v>
      </c>
      <c r="J35" s="16"/>
      <c r="K35" s="16">
        <v>1377281</v>
      </c>
      <c r="L35" s="16"/>
      <c r="M35" s="16">
        <v>0</v>
      </c>
      <c r="N35" s="14"/>
      <c r="O35" s="40">
        <f t="shared" si="0"/>
        <v>1648835</v>
      </c>
      <c r="P35" s="14"/>
      <c r="Q35" s="16">
        <v>12628110</v>
      </c>
      <c r="R35" s="9"/>
      <c r="S35" s="16">
        <v>19474</v>
      </c>
    </row>
    <row r="36" spans="1:19" s="2" customFormat="1" ht="12.75" customHeight="1">
      <c r="A36" s="131" t="s">
        <v>34</v>
      </c>
      <c r="B36" s="18"/>
      <c r="C36" s="16">
        <v>2290834</v>
      </c>
      <c r="D36" s="16"/>
      <c r="E36" s="16">
        <v>3401385</v>
      </c>
      <c r="F36" s="16"/>
      <c r="G36" s="16">
        <v>0</v>
      </c>
      <c r="H36" s="16"/>
      <c r="I36" s="16">
        <v>1323477</v>
      </c>
      <c r="J36" s="16"/>
      <c r="K36" s="16">
        <v>1130063</v>
      </c>
      <c r="L36" s="16"/>
      <c r="M36" s="16">
        <v>0</v>
      </c>
      <c r="N36" s="14"/>
      <c r="O36" s="40">
        <f t="shared" si="0"/>
        <v>725314</v>
      </c>
      <c r="P36" s="14"/>
      <c r="Q36" s="16">
        <v>8871073</v>
      </c>
      <c r="R36" s="9"/>
      <c r="S36" s="16">
        <f>87898+160000</f>
        <v>247898</v>
      </c>
    </row>
    <row r="37" spans="1:19" s="2" customFormat="1" ht="12.75" customHeight="1">
      <c r="A37" s="131" t="s">
        <v>35</v>
      </c>
      <c r="B37" s="18"/>
      <c r="C37" s="16">
        <v>7661280</v>
      </c>
      <c r="D37" s="16"/>
      <c r="E37" s="16">
        <v>10544156</v>
      </c>
      <c r="F37" s="16"/>
      <c r="G37" s="16">
        <v>0</v>
      </c>
      <c r="H37" s="16"/>
      <c r="I37" s="16">
        <v>3802087</v>
      </c>
      <c r="J37" s="16"/>
      <c r="K37" s="16">
        <v>2897166</v>
      </c>
      <c r="L37" s="16"/>
      <c r="M37" s="16">
        <v>0</v>
      </c>
      <c r="N37" s="14"/>
      <c r="O37" s="40">
        <f t="shared" si="0"/>
        <v>1998686</v>
      </c>
      <c r="P37" s="14"/>
      <c r="Q37" s="16">
        <v>26903375</v>
      </c>
      <c r="R37" s="9"/>
      <c r="S37" s="16">
        <v>16460</v>
      </c>
    </row>
    <row r="38" spans="1:19" s="2" customFormat="1" ht="12.75" customHeight="1">
      <c r="A38" s="131" t="s">
        <v>181</v>
      </c>
      <c r="B38" s="18"/>
      <c r="C38" s="16">
        <v>30535349</v>
      </c>
      <c r="D38" s="16"/>
      <c r="E38" s="16">
        <v>0</v>
      </c>
      <c r="F38" s="16"/>
      <c r="G38" s="16">
        <v>0</v>
      </c>
      <c r="H38" s="16"/>
      <c r="I38" s="16">
        <v>5629271</v>
      </c>
      <c r="J38" s="16"/>
      <c r="K38" s="16">
        <v>4693400</v>
      </c>
      <c r="L38" s="16"/>
      <c r="M38" s="16">
        <v>0</v>
      </c>
      <c r="N38" s="14"/>
      <c r="O38" s="40">
        <f t="shared" si="0"/>
        <v>4243462</v>
      </c>
      <c r="P38" s="14"/>
      <c r="Q38" s="16">
        <v>45101482</v>
      </c>
      <c r="R38" s="9"/>
      <c r="S38" s="16">
        <f>24369+238949</f>
        <v>263318</v>
      </c>
    </row>
    <row r="39" spans="1:19" s="2" customFormat="1" ht="12.75" customHeight="1" hidden="1">
      <c r="A39" s="131" t="s">
        <v>242</v>
      </c>
      <c r="B39" s="18"/>
      <c r="C39" s="24"/>
      <c r="D39" s="16"/>
      <c r="E39" s="24"/>
      <c r="F39" s="16"/>
      <c r="G39" s="16">
        <v>0</v>
      </c>
      <c r="H39" s="16"/>
      <c r="I39" s="24"/>
      <c r="J39" s="16"/>
      <c r="K39" s="24"/>
      <c r="L39" s="16"/>
      <c r="M39" s="16">
        <v>0</v>
      </c>
      <c r="N39" s="14"/>
      <c r="O39" s="40">
        <f t="shared" si="0"/>
        <v>0</v>
      </c>
      <c r="P39" s="14"/>
      <c r="Q39" s="24"/>
      <c r="R39" s="9"/>
      <c r="S39" s="24"/>
    </row>
    <row r="40" spans="1:19" s="2" customFormat="1" ht="12.75" customHeight="1" hidden="1">
      <c r="A40" s="131" t="s">
        <v>37</v>
      </c>
      <c r="B40" s="18"/>
      <c r="C40" s="24"/>
      <c r="D40" s="16"/>
      <c r="E40" s="24"/>
      <c r="F40" s="16"/>
      <c r="G40" s="16">
        <v>0</v>
      </c>
      <c r="H40" s="16"/>
      <c r="I40" s="24"/>
      <c r="J40" s="16"/>
      <c r="K40" s="24"/>
      <c r="L40" s="16"/>
      <c r="M40" s="16">
        <v>0</v>
      </c>
      <c r="N40" s="14"/>
      <c r="O40" s="40">
        <f t="shared" si="0"/>
        <v>0</v>
      </c>
      <c r="P40" s="14"/>
      <c r="Q40" s="24"/>
      <c r="R40" s="9"/>
      <c r="S40" s="24"/>
    </row>
    <row r="41" spans="1:19" s="2" customFormat="1" ht="12.75" customHeight="1">
      <c r="A41" s="131" t="s">
        <v>38</v>
      </c>
      <c r="B41" s="18"/>
      <c r="C41" s="24">
        <v>1767184</v>
      </c>
      <c r="D41" s="16"/>
      <c r="E41" s="24">
        <v>11587215</v>
      </c>
      <c r="F41" s="16"/>
      <c r="G41" s="16">
        <v>0</v>
      </c>
      <c r="H41" s="16"/>
      <c r="I41" s="24">
        <v>3687585</v>
      </c>
      <c r="J41" s="16"/>
      <c r="K41" s="24">
        <v>2559872</v>
      </c>
      <c r="L41" s="16"/>
      <c r="M41" s="16">
        <v>0</v>
      </c>
      <c r="N41" s="14"/>
      <c r="O41" s="40">
        <f t="shared" si="0"/>
        <v>895825</v>
      </c>
      <c r="P41" s="14"/>
      <c r="Q41" s="24">
        <v>20497681</v>
      </c>
      <c r="R41" s="9"/>
      <c r="S41" s="24">
        <v>0</v>
      </c>
    </row>
    <row r="42" spans="1:19" s="2" customFormat="1" ht="12.75" customHeight="1" hidden="1">
      <c r="A42" s="131" t="s">
        <v>167</v>
      </c>
      <c r="B42" s="18"/>
      <c r="C42" s="24"/>
      <c r="D42" s="16"/>
      <c r="E42" s="24"/>
      <c r="F42" s="16"/>
      <c r="G42" s="16">
        <v>0</v>
      </c>
      <c r="H42" s="16"/>
      <c r="I42" s="24"/>
      <c r="J42" s="16"/>
      <c r="K42" s="24"/>
      <c r="L42" s="16"/>
      <c r="M42" s="16">
        <v>0</v>
      </c>
      <c r="N42" s="14"/>
      <c r="O42" s="40">
        <f t="shared" si="0"/>
        <v>0</v>
      </c>
      <c r="P42" s="14"/>
      <c r="Q42" s="24"/>
      <c r="R42" s="9"/>
      <c r="S42" s="24"/>
    </row>
    <row r="43" spans="1:19" s="2" customFormat="1" ht="12.75" customHeight="1" hidden="1">
      <c r="A43" s="131" t="s">
        <v>39</v>
      </c>
      <c r="B43" s="18"/>
      <c r="C43" s="24"/>
      <c r="D43" s="16"/>
      <c r="E43" s="24"/>
      <c r="F43" s="16"/>
      <c r="G43" s="16">
        <v>0</v>
      </c>
      <c r="H43" s="16"/>
      <c r="I43" s="24"/>
      <c r="J43" s="16"/>
      <c r="K43" s="24"/>
      <c r="L43" s="16"/>
      <c r="M43" s="16">
        <v>0</v>
      </c>
      <c r="N43" s="14"/>
      <c r="O43" s="40">
        <f t="shared" si="0"/>
        <v>0</v>
      </c>
      <c r="P43" s="14"/>
      <c r="Q43" s="24"/>
      <c r="R43" s="9"/>
      <c r="S43" s="24"/>
    </row>
    <row r="44" spans="1:19" s="2" customFormat="1" ht="12.75" customHeight="1">
      <c r="A44" s="131" t="s">
        <v>40</v>
      </c>
      <c r="B44" s="18"/>
      <c r="C44" s="24">
        <v>1857977</v>
      </c>
      <c r="D44" s="16"/>
      <c r="E44" s="24">
        <v>4015220</v>
      </c>
      <c r="F44" s="16"/>
      <c r="G44" s="16">
        <v>0</v>
      </c>
      <c r="H44" s="16"/>
      <c r="I44" s="24">
        <v>890361</v>
      </c>
      <c r="J44" s="16"/>
      <c r="K44" s="24">
        <v>1173988</v>
      </c>
      <c r="L44" s="16"/>
      <c r="M44" s="16">
        <v>0</v>
      </c>
      <c r="N44" s="14"/>
      <c r="O44" s="40">
        <f t="shared" si="0"/>
        <v>1083133</v>
      </c>
      <c r="P44" s="14"/>
      <c r="Q44" s="24">
        <v>9020679</v>
      </c>
      <c r="R44" s="9"/>
      <c r="S44" s="24">
        <v>0</v>
      </c>
    </row>
    <row r="45" spans="1:19" s="2" customFormat="1" ht="12.75" customHeight="1" hidden="1">
      <c r="A45" s="131" t="s">
        <v>41</v>
      </c>
      <c r="B45" s="18"/>
      <c r="C45" s="24"/>
      <c r="D45" s="16"/>
      <c r="E45" s="24"/>
      <c r="F45" s="16"/>
      <c r="G45" s="16">
        <v>0</v>
      </c>
      <c r="H45" s="16"/>
      <c r="I45" s="24"/>
      <c r="J45" s="16"/>
      <c r="K45" s="24"/>
      <c r="L45" s="16"/>
      <c r="M45" s="16">
        <v>0</v>
      </c>
      <c r="N45" s="14"/>
      <c r="O45" s="40">
        <f t="shared" si="0"/>
        <v>0</v>
      </c>
      <c r="P45" s="14"/>
      <c r="Q45" s="24"/>
      <c r="R45" s="9"/>
      <c r="S45" s="24"/>
    </row>
    <row r="46" spans="1:19" s="2" customFormat="1" ht="12.75" customHeight="1">
      <c r="A46" s="131" t="s">
        <v>42</v>
      </c>
      <c r="B46" s="18"/>
      <c r="C46" s="24">
        <v>4352183</v>
      </c>
      <c r="D46" s="130"/>
      <c r="E46" s="24">
        <v>0</v>
      </c>
      <c r="F46" s="130"/>
      <c r="G46" s="16">
        <v>0</v>
      </c>
      <c r="H46" s="130"/>
      <c r="I46" s="24">
        <v>1076222</v>
      </c>
      <c r="J46" s="130"/>
      <c r="K46" s="24">
        <v>837230</v>
      </c>
      <c r="L46" s="130"/>
      <c r="M46" s="16">
        <v>0</v>
      </c>
      <c r="N46" s="145"/>
      <c r="O46" s="144">
        <f t="shared" si="0"/>
        <v>441741</v>
      </c>
      <c r="P46" s="145"/>
      <c r="Q46" s="24">
        <v>6707376</v>
      </c>
      <c r="R46" s="146"/>
      <c r="S46" s="24">
        <v>2127</v>
      </c>
    </row>
    <row r="47" spans="1:19" s="2" customFormat="1" ht="12.75" customHeight="1">
      <c r="A47" s="131" t="s">
        <v>43</v>
      </c>
      <c r="B47" s="18"/>
      <c r="C47" s="24">
        <v>2259971</v>
      </c>
      <c r="D47" s="130"/>
      <c r="E47" s="24">
        <v>4396526</v>
      </c>
      <c r="F47" s="130"/>
      <c r="G47" s="16">
        <v>0</v>
      </c>
      <c r="H47" s="130"/>
      <c r="I47" s="24">
        <v>1676225</v>
      </c>
      <c r="J47" s="130"/>
      <c r="K47" s="24">
        <v>1153063</v>
      </c>
      <c r="L47" s="130"/>
      <c r="M47" s="16">
        <v>0</v>
      </c>
      <c r="N47" s="145"/>
      <c r="O47" s="144">
        <f t="shared" si="0"/>
        <v>449977</v>
      </c>
      <c r="P47" s="145"/>
      <c r="Q47" s="24">
        <v>9935762</v>
      </c>
      <c r="R47" s="146"/>
      <c r="S47" s="24">
        <v>25241</v>
      </c>
    </row>
    <row r="48" spans="1:19" s="2" customFormat="1" ht="12.75" customHeight="1">
      <c r="A48" s="131" t="s">
        <v>44</v>
      </c>
      <c r="B48" s="18"/>
      <c r="C48" s="24">
        <v>10263114</v>
      </c>
      <c r="D48" s="130"/>
      <c r="E48" s="24">
        <v>0</v>
      </c>
      <c r="F48" s="130"/>
      <c r="G48" s="16">
        <v>0</v>
      </c>
      <c r="H48" s="130"/>
      <c r="I48" s="24">
        <v>1570191</v>
      </c>
      <c r="J48" s="130"/>
      <c r="K48" s="24">
        <v>1371039</v>
      </c>
      <c r="L48" s="130"/>
      <c r="M48" s="16">
        <v>0</v>
      </c>
      <c r="N48" s="145"/>
      <c r="O48" s="144">
        <f t="shared" si="0"/>
        <v>615361</v>
      </c>
      <c r="P48" s="145"/>
      <c r="Q48" s="24">
        <v>13819705</v>
      </c>
      <c r="R48" s="146"/>
      <c r="S48" s="24">
        <v>0</v>
      </c>
    </row>
    <row r="49" spans="1:19" s="2" customFormat="1" ht="12.75" customHeight="1" hidden="1">
      <c r="A49" s="131" t="s">
        <v>239</v>
      </c>
      <c r="B49" s="18"/>
      <c r="C49" s="24"/>
      <c r="D49" s="130"/>
      <c r="E49" s="24"/>
      <c r="F49" s="130"/>
      <c r="G49" s="16">
        <v>0</v>
      </c>
      <c r="H49" s="130"/>
      <c r="I49" s="24"/>
      <c r="J49" s="130"/>
      <c r="K49" s="24"/>
      <c r="L49" s="130"/>
      <c r="M49" s="16">
        <v>0</v>
      </c>
      <c r="N49" s="145"/>
      <c r="O49" s="144">
        <f t="shared" si="0"/>
        <v>0</v>
      </c>
      <c r="P49" s="145"/>
      <c r="Q49" s="24"/>
      <c r="R49" s="146"/>
      <c r="S49" s="24"/>
    </row>
    <row r="50" spans="1:19" s="2" customFormat="1" ht="12.75" customHeight="1">
      <c r="A50" s="131" t="s">
        <v>46</v>
      </c>
      <c r="B50" s="18"/>
      <c r="C50" s="24">
        <v>1862439</v>
      </c>
      <c r="D50" s="130"/>
      <c r="E50" s="24">
        <v>4575771</v>
      </c>
      <c r="F50" s="130"/>
      <c r="G50" s="16">
        <v>0</v>
      </c>
      <c r="H50" s="130"/>
      <c r="I50" s="24">
        <v>2548477</v>
      </c>
      <c r="J50" s="130"/>
      <c r="K50" s="24">
        <v>2445727</v>
      </c>
      <c r="L50" s="130"/>
      <c r="M50" s="16">
        <v>0</v>
      </c>
      <c r="N50" s="145"/>
      <c r="O50" s="144">
        <f t="shared" si="0"/>
        <v>973955</v>
      </c>
      <c r="P50" s="145"/>
      <c r="Q50" s="24">
        <v>12406369</v>
      </c>
      <c r="R50" s="146"/>
      <c r="S50" s="24">
        <v>0</v>
      </c>
    </row>
    <row r="51" spans="1:19" s="2" customFormat="1" ht="12.75" customHeight="1">
      <c r="A51" s="131" t="s">
        <v>47</v>
      </c>
      <c r="B51" s="18"/>
      <c r="C51" s="24">
        <v>7876473</v>
      </c>
      <c r="D51" s="130"/>
      <c r="E51" s="24">
        <v>0</v>
      </c>
      <c r="F51" s="130"/>
      <c r="G51" s="16">
        <v>0</v>
      </c>
      <c r="H51" s="130"/>
      <c r="I51" s="24">
        <v>2589782</v>
      </c>
      <c r="J51" s="130"/>
      <c r="K51" s="24">
        <v>1751449</v>
      </c>
      <c r="L51" s="130"/>
      <c r="M51" s="16">
        <v>0</v>
      </c>
      <c r="N51" s="145"/>
      <c r="O51" s="144">
        <f t="shared" si="0"/>
        <v>812640</v>
      </c>
      <c r="P51" s="145"/>
      <c r="Q51" s="24">
        <v>13030344</v>
      </c>
      <c r="R51" s="146"/>
      <c r="S51" s="24">
        <f>32513+39824</f>
        <v>72337</v>
      </c>
    </row>
    <row r="52" spans="1:19" s="2" customFormat="1" ht="12.75" customHeight="1" hidden="1">
      <c r="A52" s="131" t="s">
        <v>48</v>
      </c>
      <c r="B52" s="18"/>
      <c r="C52" s="24"/>
      <c r="D52" s="130"/>
      <c r="E52" s="24"/>
      <c r="F52" s="130"/>
      <c r="G52" s="16">
        <v>0</v>
      </c>
      <c r="H52" s="130"/>
      <c r="I52" s="24"/>
      <c r="J52" s="130"/>
      <c r="K52" s="24"/>
      <c r="L52" s="130"/>
      <c r="M52" s="16">
        <v>0</v>
      </c>
      <c r="N52" s="145"/>
      <c r="O52" s="144">
        <f t="shared" si="0"/>
        <v>0</v>
      </c>
      <c r="P52" s="145"/>
      <c r="Q52" s="24"/>
      <c r="R52" s="146"/>
      <c r="S52" s="24"/>
    </row>
    <row r="53" spans="1:19" s="2" customFormat="1" ht="12.75" customHeight="1" hidden="1">
      <c r="A53" s="131" t="s">
        <v>169</v>
      </c>
      <c r="B53" s="18"/>
      <c r="C53" s="24"/>
      <c r="D53" s="130"/>
      <c r="E53" s="24"/>
      <c r="F53" s="130"/>
      <c r="G53" s="16">
        <v>0</v>
      </c>
      <c r="H53" s="130"/>
      <c r="I53" s="24"/>
      <c r="J53" s="130"/>
      <c r="K53" s="24"/>
      <c r="L53" s="130"/>
      <c r="M53" s="16">
        <v>0</v>
      </c>
      <c r="N53" s="145"/>
      <c r="O53" s="144">
        <f t="shared" si="0"/>
        <v>0</v>
      </c>
      <c r="P53" s="145"/>
      <c r="Q53" s="24"/>
      <c r="R53" s="146"/>
      <c r="S53" s="24"/>
    </row>
    <row r="54" spans="1:19" s="2" customFormat="1" ht="12.75" customHeight="1">
      <c r="A54" s="131" t="s">
        <v>49</v>
      </c>
      <c r="B54" s="18"/>
      <c r="C54" s="24">
        <v>31914005</v>
      </c>
      <c r="D54" s="130"/>
      <c r="E54" s="24">
        <v>0</v>
      </c>
      <c r="F54" s="130"/>
      <c r="G54" s="16">
        <v>0</v>
      </c>
      <c r="H54" s="130"/>
      <c r="I54" s="24">
        <v>7042710</v>
      </c>
      <c r="J54" s="130"/>
      <c r="K54" s="24">
        <v>4588874</v>
      </c>
      <c r="L54" s="130"/>
      <c r="M54" s="16">
        <v>0</v>
      </c>
      <c r="N54" s="145"/>
      <c r="O54" s="144">
        <f t="shared" si="0"/>
        <v>1992997</v>
      </c>
      <c r="P54" s="145"/>
      <c r="Q54" s="24">
        <v>45538586</v>
      </c>
      <c r="R54" s="146"/>
      <c r="S54" s="24">
        <v>466921</v>
      </c>
    </row>
    <row r="55" spans="1:19" s="2" customFormat="1" ht="12.75" customHeight="1">
      <c r="A55" s="131" t="s">
        <v>50</v>
      </c>
      <c r="B55" s="18"/>
      <c r="C55" s="24">
        <v>2347009</v>
      </c>
      <c r="D55" s="130"/>
      <c r="E55" s="24">
        <v>4575003</v>
      </c>
      <c r="F55" s="130"/>
      <c r="G55" s="16">
        <v>0</v>
      </c>
      <c r="H55" s="130"/>
      <c r="I55" s="24">
        <v>2033756</v>
      </c>
      <c r="J55" s="130"/>
      <c r="K55" s="24">
        <v>1471799</v>
      </c>
      <c r="L55" s="130"/>
      <c r="M55" s="16">
        <v>0</v>
      </c>
      <c r="N55" s="145"/>
      <c r="O55" s="144">
        <f t="shared" si="0"/>
        <v>761437</v>
      </c>
      <c r="P55" s="145"/>
      <c r="Q55" s="24">
        <v>11189004</v>
      </c>
      <c r="R55" s="146"/>
      <c r="S55" s="24">
        <v>0</v>
      </c>
    </row>
    <row r="56" spans="1:19" s="2" customFormat="1" ht="12.75" customHeight="1">
      <c r="A56" s="131" t="s">
        <v>244</v>
      </c>
      <c r="B56" s="18"/>
      <c r="C56" s="24">
        <v>7244534</v>
      </c>
      <c r="D56" s="130"/>
      <c r="E56" s="24">
        <v>15748496</v>
      </c>
      <c r="F56" s="130"/>
      <c r="G56" s="16">
        <v>0</v>
      </c>
      <c r="H56" s="130"/>
      <c r="I56" s="24">
        <v>3490829</v>
      </c>
      <c r="J56" s="130"/>
      <c r="K56" s="24">
        <v>6987518</v>
      </c>
      <c r="L56" s="130"/>
      <c r="M56" s="16">
        <v>0</v>
      </c>
      <c r="N56" s="145"/>
      <c r="O56" s="144">
        <f t="shared" si="0"/>
        <v>12148700</v>
      </c>
      <c r="P56" s="145"/>
      <c r="Q56" s="24">
        <v>45620077</v>
      </c>
      <c r="R56" s="146"/>
      <c r="S56" s="24">
        <v>69256</v>
      </c>
    </row>
    <row r="57" spans="1:19" s="2" customFormat="1" ht="12.75" customHeight="1">
      <c r="A57" s="131" t="s">
        <v>182</v>
      </c>
      <c r="B57" s="18"/>
      <c r="C57" s="24">
        <v>13708947</v>
      </c>
      <c r="D57" s="130"/>
      <c r="E57" s="24">
        <v>72035424</v>
      </c>
      <c r="F57" s="130"/>
      <c r="G57" s="16">
        <v>0</v>
      </c>
      <c r="H57" s="130"/>
      <c r="I57" s="24">
        <v>8811592</v>
      </c>
      <c r="J57" s="130"/>
      <c r="K57" s="24">
        <v>22027743</v>
      </c>
      <c r="L57" s="130"/>
      <c r="M57" s="24">
        <v>27361</v>
      </c>
      <c r="N57" s="145"/>
      <c r="O57" s="144">
        <f t="shared" si="0"/>
        <v>6870251</v>
      </c>
      <c r="P57" s="145"/>
      <c r="Q57" s="24">
        <v>123481318</v>
      </c>
      <c r="R57" s="146"/>
      <c r="S57" s="24">
        <v>0</v>
      </c>
    </row>
    <row r="58" spans="1:19" s="34" customFormat="1" ht="12.75" customHeight="1" hidden="1">
      <c r="A58" s="131" t="s">
        <v>52</v>
      </c>
      <c r="B58" s="62"/>
      <c r="C58" s="24"/>
      <c r="D58" s="130"/>
      <c r="E58" s="24"/>
      <c r="F58" s="130"/>
      <c r="G58" s="16">
        <v>0</v>
      </c>
      <c r="H58" s="130"/>
      <c r="I58" s="24"/>
      <c r="J58" s="130"/>
      <c r="K58" s="24"/>
      <c r="L58" s="130"/>
      <c r="M58" s="24"/>
      <c r="N58" s="145"/>
      <c r="O58" s="144">
        <f t="shared" si="0"/>
        <v>0</v>
      </c>
      <c r="P58" s="145"/>
      <c r="Q58" s="24"/>
      <c r="R58" s="146"/>
      <c r="S58" s="24"/>
    </row>
    <row r="59" spans="1:19" s="34" customFormat="1" ht="12.75" customHeight="1">
      <c r="A59" s="131" t="s">
        <v>53</v>
      </c>
      <c r="B59" s="62"/>
      <c r="C59" s="24">
        <v>7275207</v>
      </c>
      <c r="D59" s="130"/>
      <c r="E59" s="24">
        <v>29699553</v>
      </c>
      <c r="F59" s="130"/>
      <c r="G59" s="24">
        <v>1373069</v>
      </c>
      <c r="H59" s="130"/>
      <c r="I59" s="24">
        <v>1988466</v>
      </c>
      <c r="J59" s="130"/>
      <c r="K59" s="24">
        <v>7008808</v>
      </c>
      <c r="L59" s="130"/>
      <c r="M59" s="24">
        <v>0</v>
      </c>
      <c r="N59" s="145"/>
      <c r="O59" s="144">
        <f t="shared" si="0"/>
        <v>8790171</v>
      </c>
      <c r="P59" s="145"/>
      <c r="Q59" s="24">
        <v>56135274</v>
      </c>
      <c r="R59" s="146"/>
      <c r="S59" s="24">
        <f>733300+32343</f>
        <v>765643</v>
      </c>
    </row>
    <row r="60" spans="1:19" s="34" customFormat="1" ht="12.75" customHeight="1">
      <c r="A60" s="131" t="s">
        <v>54</v>
      </c>
      <c r="B60" s="62"/>
      <c r="C60" s="24">
        <v>2043793</v>
      </c>
      <c r="D60" s="130"/>
      <c r="E60" s="24">
        <v>7045122</v>
      </c>
      <c r="F60" s="130"/>
      <c r="G60" s="24">
        <v>0</v>
      </c>
      <c r="H60" s="130"/>
      <c r="I60" s="24">
        <v>2886081</v>
      </c>
      <c r="J60" s="130"/>
      <c r="K60" s="24">
        <v>1916809</v>
      </c>
      <c r="L60" s="130"/>
      <c r="M60" s="24">
        <v>0</v>
      </c>
      <c r="N60" s="145"/>
      <c r="O60" s="144">
        <f t="shared" si="0"/>
        <v>1073009</v>
      </c>
      <c r="P60" s="145"/>
      <c r="Q60" s="24">
        <v>14964814</v>
      </c>
      <c r="R60" s="146"/>
      <c r="S60" s="24">
        <v>0</v>
      </c>
    </row>
    <row r="61" spans="1:19" s="2" customFormat="1" ht="12.75" customHeight="1">
      <c r="A61" s="131" t="s">
        <v>55</v>
      </c>
      <c r="B61" s="18"/>
      <c r="C61" s="24">
        <v>9686665</v>
      </c>
      <c r="D61" s="130"/>
      <c r="E61" s="24">
        <v>9941056</v>
      </c>
      <c r="F61" s="130"/>
      <c r="G61" s="24">
        <v>1416345</v>
      </c>
      <c r="H61" s="130"/>
      <c r="I61" s="24">
        <v>7355044</v>
      </c>
      <c r="J61" s="130"/>
      <c r="K61" s="24">
        <v>4775046</v>
      </c>
      <c r="L61" s="130"/>
      <c r="M61" s="24">
        <v>0</v>
      </c>
      <c r="N61" s="145"/>
      <c r="O61" s="144">
        <f t="shared" si="0"/>
        <v>2506517</v>
      </c>
      <c r="P61" s="145"/>
      <c r="Q61" s="24">
        <v>35680673</v>
      </c>
      <c r="R61" s="146"/>
      <c r="S61" s="24">
        <v>0</v>
      </c>
    </row>
    <row r="62" spans="1:19" s="2" customFormat="1" ht="12.75" customHeight="1" hidden="1">
      <c r="A62" s="131" t="s">
        <v>170</v>
      </c>
      <c r="B62" s="18"/>
      <c r="C62" s="24"/>
      <c r="D62" s="130"/>
      <c r="E62" s="24"/>
      <c r="F62" s="130"/>
      <c r="G62" s="24"/>
      <c r="H62" s="130"/>
      <c r="I62" s="24"/>
      <c r="J62" s="130"/>
      <c r="K62" s="24"/>
      <c r="L62" s="130"/>
      <c r="M62" s="24"/>
      <c r="N62" s="145"/>
      <c r="O62" s="144">
        <f t="shared" si="0"/>
        <v>0</v>
      </c>
      <c r="P62" s="145"/>
      <c r="Q62" s="24"/>
      <c r="R62" s="146"/>
      <c r="S62" s="24"/>
    </row>
    <row r="63" spans="1:19" s="2" customFormat="1" ht="12.75" customHeight="1" hidden="1">
      <c r="A63" s="131" t="s">
        <v>56</v>
      </c>
      <c r="B63" s="18"/>
      <c r="C63" s="24"/>
      <c r="D63" s="130"/>
      <c r="E63" s="24"/>
      <c r="F63" s="130"/>
      <c r="G63" s="24"/>
      <c r="H63" s="130"/>
      <c r="I63" s="24"/>
      <c r="J63" s="130"/>
      <c r="K63" s="24"/>
      <c r="L63" s="130"/>
      <c r="M63" s="24"/>
      <c r="N63" s="145"/>
      <c r="O63" s="144">
        <f t="shared" si="0"/>
        <v>0</v>
      </c>
      <c r="P63" s="145"/>
      <c r="Q63" s="24"/>
      <c r="R63" s="146"/>
      <c r="S63" s="24"/>
    </row>
    <row r="64" spans="1:19" s="2" customFormat="1" ht="12.75" customHeight="1">
      <c r="A64" s="131" t="s">
        <v>57</v>
      </c>
      <c r="B64" s="18"/>
      <c r="C64" s="24">
        <v>15298278</v>
      </c>
      <c r="D64" s="130"/>
      <c r="E64" s="24">
        <v>0</v>
      </c>
      <c r="F64" s="130"/>
      <c r="G64" s="24">
        <v>0</v>
      </c>
      <c r="H64" s="130"/>
      <c r="I64" s="24">
        <v>3219437</v>
      </c>
      <c r="J64" s="130"/>
      <c r="K64" s="24">
        <v>2703173</v>
      </c>
      <c r="L64" s="130"/>
      <c r="M64" s="24">
        <v>0</v>
      </c>
      <c r="N64" s="145"/>
      <c r="O64" s="144">
        <f t="shared" si="0"/>
        <v>2864575</v>
      </c>
      <c r="P64" s="145"/>
      <c r="Q64" s="24">
        <v>24085463</v>
      </c>
      <c r="R64" s="146"/>
      <c r="S64" s="24">
        <v>0</v>
      </c>
    </row>
    <row r="65" spans="1:19" s="2" customFormat="1" ht="12.75" customHeight="1" hidden="1">
      <c r="A65" s="131" t="s">
        <v>58</v>
      </c>
      <c r="B65" s="18"/>
      <c r="C65" s="24"/>
      <c r="D65" s="130"/>
      <c r="E65" s="24"/>
      <c r="F65" s="130"/>
      <c r="G65" s="24"/>
      <c r="H65" s="130"/>
      <c r="I65" s="24"/>
      <c r="J65" s="130"/>
      <c r="K65" s="24"/>
      <c r="L65" s="130"/>
      <c r="M65" s="24">
        <v>0</v>
      </c>
      <c r="N65" s="145"/>
      <c r="O65" s="144">
        <f t="shared" si="0"/>
        <v>0</v>
      </c>
      <c r="P65" s="145"/>
      <c r="Q65" s="24"/>
      <c r="R65" s="146"/>
      <c r="S65" s="24"/>
    </row>
    <row r="66" spans="1:19" s="2" customFormat="1" ht="12.75" customHeight="1">
      <c r="A66" s="131" t="s">
        <v>59</v>
      </c>
      <c r="B66" s="18"/>
      <c r="C66" s="24">
        <v>14540832</v>
      </c>
      <c r="D66" s="16"/>
      <c r="E66" s="24">
        <v>66650957</v>
      </c>
      <c r="F66" s="16"/>
      <c r="G66" s="24">
        <v>1979525</v>
      </c>
      <c r="H66" s="16"/>
      <c r="I66" s="24">
        <v>24842621</v>
      </c>
      <c r="J66" s="16"/>
      <c r="K66" s="24">
        <v>20547565</v>
      </c>
      <c r="L66" s="16"/>
      <c r="M66" s="24">
        <v>0</v>
      </c>
      <c r="N66" s="14"/>
      <c r="O66" s="40">
        <f t="shared" si="0"/>
        <v>16592075</v>
      </c>
      <c r="P66" s="14"/>
      <c r="Q66" s="24">
        <v>145153575</v>
      </c>
      <c r="R66" s="9"/>
      <c r="S66" s="24">
        <f>95411+48663+4560171</f>
        <v>4704245</v>
      </c>
    </row>
    <row r="67" spans="1:19" s="2" customFormat="1" ht="12.75" customHeight="1" hidden="1">
      <c r="A67" s="131" t="s">
        <v>60</v>
      </c>
      <c r="B67" s="18"/>
      <c r="C67" s="24"/>
      <c r="D67" s="16"/>
      <c r="E67" s="24"/>
      <c r="F67" s="16"/>
      <c r="G67" s="24"/>
      <c r="H67" s="16"/>
      <c r="I67" s="24"/>
      <c r="J67" s="16"/>
      <c r="K67" s="24"/>
      <c r="L67" s="16"/>
      <c r="M67" s="24">
        <v>0</v>
      </c>
      <c r="N67" s="14"/>
      <c r="O67" s="40">
        <f t="shared" si="0"/>
        <v>0</v>
      </c>
      <c r="P67" s="14"/>
      <c r="Q67" s="24"/>
      <c r="R67" s="9"/>
      <c r="S67" s="24"/>
    </row>
    <row r="68" spans="1:19" s="2" customFormat="1" ht="12.75" customHeight="1">
      <c r="A68" s="131" t="s">
        <v>97</v>
      </c>
      <c r="B68" s="18"/>
      <c r="C68" s="24">
        <v>2046652</v>
      </c>
      <c r="D68" s="16"/>
      <c r="E68" s="24">
        <v>2765848</v>
      </c>
      <c r="F68" s="16"/>
      <c r="G68" s="24">
        <v>0</v>
      </c>
      <c r="H68" s="16"/>
      <c r="I68" s="24">
        <v>375162</v>
      </c>
      <c r="J68" s="16"/>
      <c r="K68" s="24">
        <v>925191</v>
      </c>
      <c r="L68" s="16"/>
      <c r="M68" s="24">
        <v>0</v>
      </c>
      <c r="N68" s="14"/>
      <c r="O68" s="40">
        <f t="shared" si="0"/>
        <v>1212599</v>
      </c>
      <c r="P68" s="14"/>
      <c r="Q68" s="24">
        <v>7325452</v>
      </c>
      <c r="R68" s="9"/>
      <c r="S68" s="24">
        <v>0</v>
      </c>
    </row>
    <row r="69" spans="1:19" s="2" customFormat="1" ht="12.75" customHeight="1">
      <c r="A69" s="131" t="s">
        <v>61</v>
      </c>
      <c r="B69" s="18"/>
      <c r="C69" s="24">
        <v>3040941</v>
      </c>
      <c r="D69" s="16"/>
      <c r="E69" s="24">
        <v>15131293</v>
      </c>
      <c r="F69" s="16"/>
      <c r="G69" s="24">
        <v>109562</v>
      </c>
      <c r="H69" s="16"/>
      <c r="I69" s="24">
        <v>3942900</v>
      </c>
      <c r="J69" s="16"/>
      <c r="K69" s="24">
        <v>2499867</v>
      </c>
      <c r="L69" s="16"/>
      <c r="M69" s="24">
        <v>0</v>
      </c>
      <c r="N69" s="14"/>
      <c r="O69" s="40">
        <f t="shared" si="0"/>
        <v>2577372</v>
      </c>
      <c r="P69" s="14"/>
      <c r="Q69" s="24">
        <v>27301935</v>
      </c>
      <c r="R69" s="9"/>
      <c r="S69" s="24">
        <f>12325+112475+74416</f>
        <v>199216</v>
      </c>
    </row>
    <row r="70" spans="1:19" s="2" customFormat="1" ht="12.75" customHeight="1">
      <c r="A70" s="131" t="s">
        <v>62</v>
      </c>
      <c r="B70" s="18"/>
      <c r="C70" s="24">
        <v>743272</v>
      </c>
      <c r="D70" s="16"/>
      <c r="E70" s="24">
        <v>1098781</v>
      </c>
      <c r="F70" s="16"/>
      <c r="G70" s="24">
        <v>0</v>
      </c>
      <c r="H70" s="16"/>
      <c r="I70" s="24">
        <v>791892</v>
      </c>
      <c r="J70" s="16"/>
      <c r="K70" s="24">
        <v>392926</v>
      </c>
      <c r="L70" s="16"/>
      <c r="M70" s="24">
        <v>0</v>
      </c>
      <c r="N70" s="14"/>
      <c r="O70" s="40">
        <f t="shared" si="0"/>
        <v>303203</v>
      </c>
      <c r="P70" s="14"/>
      <c r="Q70" s="24">
        <v>3330074</v>
      </c>
      <c r="R70" s="9"/>
      <c r="S70" s="24">
        <v>450</v>
      </c>
    </row>
    <row r="71" spans="1:19" s="2" customFormat="1" ht="12.75" customHeight="1" hidden="1">
      <c r="A71" s="131" t="s">
        <v>63</v>
      </c>
      <c r="B71" s="18"/>
      <c r="C71" s="24"/>
      <c r="D71" s="16"/>
      <c r="E71" s="24"/>
      <c r="F71" s="16"/>
      <c r="G71" s="24"/>
      <c r="H71" s="16"/>
      <c r="I71" s="24"/>
      <c r="J71" s="16"/>
      <c r="K71" s="24"/>
      <c r="L71" s="16"/>
      <c r="M71" s="24">
        <v>0</v>
      </c>
      <c r="N71" s="14"/>
      <c r="O71" s="40">
        <f t="shared" si="0"/>
        <v>0</v>
      </c>
      <c r="P71" s="14"/>
      <c r="Q71" s="24"/>
      <c r="R71" s="9"/>
      <c r="S71" s="24"/>
    </row>
    <row r="72" spans="1:19" s="2" customFormat="1" ht="12.75" customHeight="1" hidden="1">
      <c r="A72" s="131" t="s">
        <v>131</v>
      </c>
      <c r="B72" s="18"/>
      <c r="C72" s="24"/>
      <c r="D72" s="16"/>
      <c r="E72" s="24"/>
      <c r="F72" s="16"/>
      <c r="G72" s="24"/>
      <c r="H72" s="16"/>
      <c r="I72" s="24"/>
      <c r="J72" s="16"/>
      <c r="K72" s="24"/>
      <c r="L72" s="16"/>
      <c r="M72" s="24">
        <v>0</v>
      </c>
      <c r="N72" s="14"/>
      <c r="O72" s="40">
        <f>Q72-C72-E72-G72-I72-K72-M72</f>
        <v>0</v>
      </c>
      <c r="P72" s="14"/>
      <c r="Q72" s="24"/>
      <c r="R72" s="9"/>
      <c r="S72" s="24"/>
    </row>
    <row r="73" spans="1:19" s="2" customFormat="1" ht="12.75" customHeight="1" hidden="1">
      <c r="A73" s="131" t="s">
        <v>64</v>
      </c>
      <c r="B73" s="18"/>
      <c r="C73" s="24"/>
      <c r="D73" s="16"/>
      <c r="E73" s="24"/>
      <c r="F73" s="16"/>
      <c r="G73" s="24"/>
      <c r="H73" s="16"/>
      <c r="I73" s="24"/>
      <c r="J73" s="16"/>
      <c r="K73" s="24"/>
      <c r="L73" s="16"/>
      <c r="M73" s="24">
        <v>0</v>
      </c>
      <c r="N73" s="14"/>
      <c r="O73" s="40">
        <f>Q73-C73-E73-G73-I73-K73-M73</f>
        <v>0</v>
      </c>
      <c r="P73" s="14"/>
      <c r="Q73" s="24"/>
      <c r="R73" s="9"/>
      <c r="S73" s="24"/>
    </row>
    <row r="74" spans="1:19" s="2" customFormat="1" ht="12.75" customHeight="1">
      <c r="A74" s="131" t="s">
        <v>65</v>
      </c>
      <c r="B74" s="18"/>
      <c r="C74" s="24">
        <v>2843183</v>
      </c>
      <c r="D74" s="16"/>
      <c r="E74" s="24">
        <v>6868930</v>
      </c>
      <c r="F74" s="16"/>
      <c r="G74" s="24">
        <v>0</v>
      </c>
      <c r="H74" s="16"/>
      <c r="I74" s="24">
        <v>2665530</v>
      </c>
      <c r="J74" s="16"/>
      <c r="K74" s="24">
        <v>1423315</v>
      </c>
      <c r="L74" s="16"/>
      <c r="M74" s="24">
        <v>0</v>
      </c>
      <c r="N74" s="14"/>
      <c r="O74" s="40">
        <f aca="true" t="shared" si="1" ref="O74:O99">Q74-C74-E74-G74-I74-K74-M74</f>
        <v>805928</v>
      </c>
      <c r="P74" s="14"/>
      <c r="Q74" s="24">
        <v>14606886</v>
      </c>
      <c r="R74" s="11"/>
      <c r="S74" s="24">
        <f>33489+88093+12566</f>
        <v>134148</v>
      </c>
    </row>
    <row r="75" spans="1:19" s="2" customFormat="1" ht="12.75" customHeight="1">
      <c r="A75" s="131" t="s">
        <v>66</v>
      </c>
      <c r="B75" s="18"/>
      <c r="C75" s="24">
        <v>5160432</v>
      </c>
      <c r="D75" s="16"/>
      <c r="E75" s="24">
        <v>0</v>
      </c>
      <c r="F75" s="16"/>
      <c r="G75" s="24">
        <v>0</v>
      </c>
      <c r="H75" s="16"/>
      <c r="I75" s="24">
        <v>667162</v>
      </c>
      <c r="J75" s="16"/>
      <c r="K75" s="24">
        <v>1207358</v>
      </c>
      <c r="L75" s="16"/>
      <c r="M75" s="24">
        <v>0</v>
      </c>
      <c r="N75" s="14"/>
      <c r="O75" s="40">
        <f t="shared" si="1"/>
        <v>824235</v>
      </c>
      <c r="P75" s="14"/>
      <c r="Q75" s="24">
        <v>7859187</v>
      </c>
      <c r="R75" s="9"/>
      <c r="S75" s="24">
        <v>15479</v>
      </c>
    </row>
    <row r="76" spans="1:19" s="2" customFormat="1" ht="12.75" customHeight="1">
      <c r="A76" s="131" t="s">
        <v>67</v>
      </c>
      <c r="B76" s="18"/>
      <c r="C76" s="24">
        <v>4439415</v>
      </c>
      <c r="D76" s="16"/>
      <c r="E76" s="24">
        <v>16512176</v>
      </c>
      <c r="F76" s="16"/>
      <c r="G76" s="24">
        <v>0</v>
      </c>
      <c r="H76" s="16"/>
      <c r="I76" s="24">
        <v>8588975</v>
      </c>
      <c r="J76" s="16"/>
      <c r="K76" s="24">
        <v>3753752</v>
      </c>
      <c r="L76" s="16"/>
      <c r="M76" s="24">
        <v>0</v>
      </c>
      <c r="N76" s="14"/>
      <c r="O76" s="40">
        <f t="shared" si="1"/>
        <v>3537701</v>
      </c>
      <c r="P76" s="14"/>
      <c r="Q76" s="24">
        <v>36832019</v>
      </c>
      <c r="R76" s="9"/>
      <c r="S76" s="24">
        <v>31789</v>
      </c>
    </row>
    <row r="77" spans="1:19" s="2" customFormat="1" ht="12.75" customHeight="1">
      <c r="A77" s="131" t="s">
        <v>68</v>
      </c>
      <c r="B77" s="18"/>
      <c r="C77" s="24">
        <v>1888540</v>
      </c>
      <c r="D77" s="16"/>
      <c r="E77" s="24">
        <v>5027910</v>
      </c>
      <c r="F77" s="16"/>
      <c r="G77" s="24">
        <v>0</v>
      </c>
      <c r="H77" s="16"/>
      <c r="I77" s="24">
        <v>1586722</v>
      </c>
      <c r="J77" s="16"/>
      <c r="K77" s="24">
        <v>1110631</v>
      </c>
      <c r="L77" s="16"/>
      <c r="M77" s="24">
        <v>0</v>
      </c>
      <c r="N77" s="14"/>
      <c r="O77" s="40">
        <f t="shared" si="1"/>
        <v>448202</v>
      </c>
      <c r="P77" s="14"/>
      <c r="Q77" s="24">
        <v>10062005</v>
      </c>
      <c r="R77" s="9"/>
      <c r="S77" s="24">
        <f>46400+3540</f>
        <v>49940</v>
      </c>
    </row>
    <row r="78" spans="1:19" s="2" customFormat="1" ht="12.75" customHeight="1">
      <c r="A78" s="131"/>
      <c r="B78" s="18"/>
      <c r="C78" s="24"/>
      <c r="D78" s="16"/>
      <c r="E78" s="24"/>
      <c r="F78" s="16"/>
      <c r="G78" s="24"/>
      <c r="H78" s="16"/>
      <c r="I78" s="24"/>
      <c r="J78" s="16"/>
      <c r="K78" s="24"/>
      <c r="L78" s="16"/>
      <c r="M78" s="24"/>
      <c r="N78" s="14"/>
      <c r="O78" s="40"/>
      <c r="P78" s="14"/>
      <c r="Q78" s="24"/>
      <c r="R78" s="9"/>
      <c r="S78" s="24"/>
    </row>
    <row r="79" spans="1:19" s="34" customFormat="1" ht="12.75" customHeight="1">
      <c r="A79" s="131" t="s">
        <v>228</v>
      </c>
      <c r="B79" s="62"/>
      <c r="C79" s="24"/>
      <c r="D79" s="16"/>
      <c r="E79" s="24"/>
      <c r="F79" s="16"/>
      <c r="G79" s="24"/>
      <c r="H79" s="16"/>
      <c r="I79" s="24"/>
      <c r="J79" s="16"/>
      <c r="K79" s="24"/>
      <c r="L79" s="16"/>
      <c r="M79" s="24"/>
      <c r="N79" s="40"/>
      <c r="O79" s="40"/>
      <c r="P79" s="40"/>
      <c r="Q79" s="16" t="s">
        <v>247</v>
      </c>
      <c r="R79" s="23"/>
      <c r="S79" s="24"/>
    </row>
    <row r="80" spans="1:19" s="2" customFormat="1" ht="12.75" customHeight="1" hidden="1">
      <c r="A80" s="131" t="s">
        <v>175</v>
      </c>
      <c r="B80" s="18"/>
      <c r="C80" s="24"/>
      <c r="D80" s="16"/>
      <c r="E80" s="24"/>
      <c r="F80" s="16"/>
      <c r="G80" s="24"/>
      <c r="H80" s="16"/>
      <c r="I80" s="24"/>
      <c r="J80" s="16"/>
      <c r="K80" s="24"/>
      <c r="L80" s="16"/>
      <c r="M80" s="24"/>
      <c r="N80" s="14"/>
      <c r="O80" s="40">
        <f t="shared" si="1"/>
        <v>0</v>
      </c>
      <c r="P80" s="14"/>
      <c r="Q80" s="24">
        <v>0</v>
      </c>
      <c r="R80" s="9"/>
      <c r="S80" s="24">
        <v>0</v>
      </c>
    </row>
    <row r="81" spans="1:19" s="2" customFormat="1" ht="12.75" customHeight="1">
      <c r="A81" s="131" t="s">
        <v>177</v>
      </c>
      <c r="B81" s="18"/>
      <c r="C81" s="177">
        <v>3436792</v>
      </c>
      <c r="D81" s="179"/>
      <c r="E81" s="177">
        <v>16240620</v>
      </c>
      <c r="F81" s="179"/>
      <c r="G81" s="177">
        <v>0</v>
      </c>
      <c r="H81" s="179"/>
      <c r="I81" s="177">
        <v>4772665</v>
      </c>
      <c r="J81" s="179"/>
      <c r="K81" s="177">
        <v>4291960</v>
      </c>
      <c r="L81" s="179"/>
      <c r="M81" s="177">
        <v>0</v>
      </c>
      <c r="N81" s="180"/>
      <c r="O81" s="179">
        <f t="shared" si="1"/>
        <v>1772910</v>
      </c>
      <c r="P81" s="180"/>
      <c r="Q81" s="177">
        <v>30514947</v>
      </c>
      <c r="R81" s="140"/>
      <c r="S81" s="177">
        <v>34074</v>
      </c>
    </row>
    <row r="82" spans="1:19" s="2" customFormat="1" ht="12.75" customHeight="1">
      <c r="A82" s="131" t="s">
        <v>69</v>
      </c>
      <c r="B82" s="18"/>
      <c r="C82" s="24">
        <v>3171326</v>
      </c>
      <c r="D82" s="16"/>
      <c r="E82" s="24">
        <v>12341993</v>
      </c>
      <c r="F82" s="16"/>
      <c r="G82" s="24">
        <v>0</v>
      </c>
      <c r="H82" s="16"/>
      <c r="I82" s="24">
        <v>2836282</v>
      </c>
      <c r="J82" s="16"/>
      <c r="K82" s="24">
        <v>1856093</v>
      </c>
      <c r="L82" s="16"/>
      <c r="M82" s="24">
        <v>0</v>
      </c>
      <c r="N82" s="14"/>
      <c r="O82" s="40">
        <f t="shared" si="1"/>
        <v>1568779</v>
      </c>
      <c r="P82" s="14"/>
      <c r="Q82" s="24">
        <v>21774473</v>
      </c>
      <c r="R82" s="9"/>
      <c r="S82" s="24">
        <v>74731</v>
      </c>
    </row>
    <row r="83" spans="1:19" s="2" customFormat="1" ht="12.75" customHeight="1">
      <c r="A83" s="131" t="s">
        <v>98</v>
      </c>
      <c r="B83" s="18"/>
      <c r="C83" s="24">
        <v>2628755</v>
      </c>
      <c r="D83" s="16"/>
      <c r="E83" s="24">
        <v>8032754</v>
      </c>
      <c r="F83" s="16"/>
      <c r="G83" s="24">
        <v>0</v>
      </c>
      <c r="H83" s="16"/>
      <c r="I83" s="24">
        <v>2087830</v>
      </c>
      <c r="J83" s="16"/>
      <c r="K83" s="24">
        <v>2042285</v>
      </c>
      <c r="L83" s="16"/>
      <c r="M83" s="24">
        <v>0</v>
      </c>
      <c r="N83" s="14"/>
      <c r="O83" s="40">
        <f t="shared" si="1"/>
        <v>4253310</v>
      </c>
      <c r="P83" s="14"/>
      <c r="Q83" s="24">
        <v>19044934</v>
      </c>
      <c r="R83" s="9"/>
      <c r="S83" s="24">
        <v>0</v>
      </c>
    </row>
    <row r="84" spans="1:19" s="2" customFormat="1" ht="12.75" customHeight="1">
      <c r="A84" s="131" t="s">
        <v>70</v>
      </c>
      <c r="B84" s="18"/>
      <c r="C84" s="24">
        <v>1630888</v>
      </c>
      <c r="D84" s="16"/>
      <c r="E84" s="24">
        <v>10385109</v>
      </c>
      <c r="F84" s="16"/>
      <c r="G84" s="143">
        <f>357079+158</f>
        <v>357237</v>
      </c>
      <c r="H84" s="16"/>
      <c r="I84" s="24">
        <v>2681093</v>
      </c>
      <c r="J84" s="16"/>
      <c r="K84" s="24">
        <v>1711619</v>
      </c>
      <c r="L84" s="16"/>
      <c r="M84" s="24">
        <v>0</v>
      </c>
      <c r="N84" s="14"/>
      <c r="O84" s="40">
        <f t="shared" si="1"/>
        <v>273158</v>
      </c>
      <c r="P84" s="14"/>
      <c r="Q84" s="24">
        <v>17039104</v>
      </c>
      <c r="R84" s="9"/>
      <c r="S84" s="24">
        <f>21643+280452+1166</f>
        <v>303261</v>
      </c>
    </row>
    <row r="85" spans="1:19" s="2" customFormat="1" ht="12.75" customHeight="1">
      <c r="A85" s="131" t="s">
        <v>71</v>
      </c>
      <c r="B85" s="18"/>
      <c r="C85" s="24">
        <v>1949814</v>
      </c>
      <c r="D85" s="16"/>
      <c r="E85" s="24">
        <v>7113990</v>
      </c>
      <c r="F85" s="16"/>
      <c r="G85" s="24">
        <v>0</v>
      </c>
      <c r="H85" s="16"/>
      <c r="I85" s="24">
        <v>1808267</v>
      </c>
      <c r="J85" s="16"/>
      <c r="K85" s="24">
        <v>4105682</v>
      </c>
      <c r="L85" s="16"/>
      <c r="M85" s="24">
        <v>0</v>
      </c>
      <c r="N85" s="14"/>
      <c r="O85" s="40">
        <f t="shared" si="1"/>
        <v>617807</v>
      </c>
      <c r="P85" s="14"/>
      <c r="Q85" s="24">
        <v>15595560</v>
      </c>
      <c r="R85" s="9"/>
      <c r="S85" s="24">
        <v>9987</v>
      </c>
    </row>
    <row r="86" spans="1:19" s="2" customFormat="1" ht="12.75" customHeight="1">
      <c r="A86" s="131" t="s">
        <v>72</v>
      </c>
      <c r="B86" s="18"/>
      <c r="C86" s="24">
        <v>1883790</v>
      </c>
      <c r="D86" s="16"/>
      <c r="E86" s="24">
        <v>3761045</v>
      </c>
      <c r="F86" s="16"/>
      <c r="G86" s="24">
        <v>0</v>
      </c>
      <c r="H86" s="16"/>
      <c r="I86" s="24">
        <v>2458699</v>
      </c>
      <c r="J86" s="16"/>
      <c r="K86" s="24">
        <v>2017871</v>
      </c>
      <c r="L86" s="16"/>
      <c r="M86" s="24">
        <v>0</v>
      </c>
      <c r="N86" s="14"/>
      <c r="O86" s="40">
        <f t="shared" si="1"/>
        <v>492853</v>
      </c>
      <c r="P86" s="14"/>
      <c r="Q86" s="24">
        <v>10614258</v>
      </c>
      <c r="R86" s="9"/>
      <c r="S86" s="24">
        <f>2688+965390</f>
        <v>968078</v>
      </c>
    </row>
    <row r="87" spans="1:19" s="2" customFormat="1" ht="12.75" customHeight="1">
      <c r="A87" s="131" t="s">
        <v>73</v>
      </c>
      <c r="B87" s="18"/>
      <c r="C87" s="24">
        <v>13533924</v>
      </c>
      <c r="D87" s="16"/>
      <c r="E87" s="24">
        <v>6960004</v>
      </c>
      <c r="F87" s="16"/>
      <c r="G87" s="24">
        <v>0</v>
      </c>
      <c r="H87" s="16"/>
      <c r="I87" s="24">
        <v>14617014</v>
      </c>
      <c r="J87" s="16"/>
      <c r="K87" s="24">
        <v>9550124</v>
      </c>
      <c r="L87" s="16"/>
      <c r="M87" s="24">
        <v>0</v>
      </c>
      <c r="N87" s="14"/>
      <c r="O87" s="40">
        <f t="shared" si="1"/>
        <v>4656163</v>
      </c>
      <c r="P87" s="14"/>
      <c r="Q87" s="24">
        <v>49317229</v>
      </c>
      <c r="R87" s="9"/>
      <c r="S87" s="24">
        <v>47806</v>
      </c>
    </row>
    <row r="88" spans="1:19" s="2" customFormat="1" ht="12.75" customHeight="1">
      <c r="A88" s="131" t="s">
        <v>74</v>
      </c>
      <c r="B88" s="18"/>
      <c r="C88" s="24">
        <v>17173509</v>
      </c>
      <c r="D88" s="16"/>
      <c r="E88" s="24">
        <v>36191563</v>
      </c>
      <c r="F88" s="16"/>
      <c r="G88" s="24">
        <v>4934462</v>
      </c>
      <c r="H88" s="16"/>
      <c r="I88" s="24">
        <v>33728797</v>
      </c>
      <c r="J88" s="16"/>
      <c r="K88" s="24">
        <v>15867371</v>
      </c>
      <c r="L88" s="16"/>
      <c r="M88" s="24">
        <v>0</v>
      </c>
      <c r="N88" s="14"/>
      <c r="O88" s="40">
        <f t="shared" si="1"/>
        <v>5609716</v>
      </c>
      <c r="P88" s="14"/>
      <c r="Q88" s="24">
        <v>113505418</v>
      </c>
      <c r="R88" s="9"/>
      <c r="S88" s="24">
        <f>10300+44135+53712</f>
        <v>108147</v>
      </c>
    </row>
    <row r="89" spans="1:19" s="2" customFormat="1" ht="12.75" customHeight="1">
      <c r="A89" s="131" t="s">
        <v>75</v>
      </c>
      <c r="B89" s="18"/>
      <c r="C89" s="24">
        <v>5927372</v>
      </c>
      <c r="D89" s="16"/>
      <c r="E89" s="24">
        <v>16924812</v>
      </c>
      <c r="F89" s="16"/>
      <c r="G89" s="24">
        <v>0</v>
      </c>
      <c r="H89" s="16"/>
      <c r="I89" s="24">
        <v>3763220</v>
      </c>
      <c r="J89" s="16"/>
      <c r="K89" s="24">
        <v>6016163</v>
      </c>
      <c r="L89" s="16"/>
      <c r="M89" s="24">
        <v>0</v>
      </c>
      <c r="N89" s="14"/>
      <c r="O89" s="40">
        <f t="shared" si="1"/>
        <v>44731422</v>
      </c>
      <c r="P89" s="14"/>
      <c r="Q89" s="24">
        <v>77362989</v>
      </c>
      <c r="R89" s="9"/>
      <c r="S89" s="24">
        <v>9901</v>
      </c>
    </row>
    <row r="90" spans="1:19" s="2" customFormat="1" ht="12.75" customHeight="1">
      <c r="A90" s="131" t="s">
        <v>76</v>
      </c>
      <c r="B90" s="18"/>
      <c r="C90" s="24">
        <v>3602120</v>
      </c>
      <c r="D90" s="16"/>
      <c r="E90" s="24">
        <v>9678074</v>
      </c>
      <c r="F90" s="16"/>
      <c r="G90" s="24">
        <v>0</v>
      </c>
      <c r="H90" s="16"/>
      <c r="I90" s="24">
        <v>3464521</v>
      </c>
      <c r="J90" s="16"/>
      <c r="K90" s="24">
        <v>2155703</v>
      </c>
      <c r="L90" s="16"/>
      <c r="M90" s="24">
        <v>0</v>
      </c>
      <c r="N90" s="14"/>
      <c r="O90" s="40">
        <f t="shared" si="1"/>
        <v>953303</v>
      </c>
      <c r="P90" s="14"/>
      <c r="Q90" s="24">
        <v>19853721</v>
      </c>
      <c r="R90" s="9"/>
      <c r="S90" s="24">
        <v>424012</v>
      </c>
    </row>
    <row r="91" spans="1:19" s="2" customFormat="1" ht="12.75" customHeight="1">
      <c r="A91" s="131" t="s">
        <v>77</v>
      </c>
      <c r="B91" s="18"/>
      <c r="C91" s="24">
        <v>3725341</v>
      </c>
      <c r="D91" s="16"/>
      <c r="E91" s="24">
        <v>7581604</v>
      </c>
      <c r="F91" s="16"/>
      <c r="G91" s="24">
        <v>0</v>
      </c>
      <c r="H91" s="16"/>
      <c r="I91" s="24">
        <v>2585738</v>
      </c>
      <c r="J91" s="16"/>
      <c r="K91" s="24">
        <v>2770373</v>
      </c>
      <c r="L91" s="16"/>
      <c r="M91" s="24">
        <v>0</v>
      </c>
      <c r="N91" s="14"/>
      <c r="O91" s="40">
        <f t="shared" si="1"/>
        <v>1638528</v>
      </c>
      <c r="P91" s="14"/>
      <c r="Q91" s="24">
        <v>18301584</v>
      </c>
      <c r="R91" s="9"/>
      <c r="S91" s="24">
        <v>0</v>
      </c>
    </row>
    <row r="92" spans="1:19" s="2" customFormat="1" ht="12.75" customHeight="1">
      <c r="A92" s="131" t="s">
        <v>78</v>
      </c>
      <c r="B92" s="18"/>
      <c r="C92" s="24">
        <v>956207</v>
      </c>
      <c r="D92" s="16"/>
      <c r="E92" s="24">
        <v>3913561</v>
      </c>
      <c r="F92" s="16"/>
      <c r="G92" s="24">
        <v>0</v>
      </c>
      <c r="H92" s="16"/>
      <c r="I92" s="24">
        <v>1146584</v>
      </c>
      <c r="J92" s="16"/>
      <c r="K92" s="24">
        <v>1028897</v>
      </c>
      <c r="L92" s="16"/>
      <c r="M92" s="24">
        <v>0</v>
      </c>
      <c r="N92" s="14"/>
      <c r="O92" s="40">
        <f t="shared" si="1"/>
        <v>641112</v>
      </c>
      <c r="P92" s="14"/>
      <c r="Q92" s="24">
        <v>7686361</v>
      </c>
      <c r="R92" s="9"/>
      <c r="S92" s="24">
        <f>20255+5889</f>
        <v>26144</v>
      </c>
    </row>
    <row r="93" spans="1:19" s="2" customFormat="1" ht="12.75" customHeight="1" hidden="1">
      <c r="A93" s="131" t="s">
        <v>79</v>
      </c>
      <c r="B93" s="18"/>
      <c r="C93" s="24"/>
      <c r="D93" s="16"/>
      <c r="E93" s="24"/>
      <c r="F93" s="16"/>
      <c r="G93" s="24">
        <v>0</v>
      </c>
      <c r="H93" s="16"/>
      <c r="I93" s="24"/>
      <c r="J93" s="16"/>
      <c r="K93" s="24"/>
      <c r="L93" s="16"/>
      <c r="M93" s="24">
        <v>0</v>
      </c>
      <c r="N93" s="14"/>
      <c r="O93" s="40">
        <f t="shared" si="1"/>
        <v>0</v>
      </c>
      <c r="P93" s="14"/>
      <c r="Q93" s="24"/>
      <c r="R93" s="9"/>
      <c r="S93" s="24"/>
    </row>
    <row r="94" spans="1:19" s="2" customFormat="1" ht="12.75" customHeight="1">
      <c r="A94" s="131" t="s">
        <v>80</v>
      </c>
      <c r="B94" s="18"/>
      <c r="C94" s="24">
        <v>43795438</v>
      </c>
      <c r="D94" s="16"/>
      <c r="E94" s="24">
        <v>0</v>
      </c>
      <c r="F94" s="16"/>
      <c r="G94" s="24">
        <v>0</v>
      </c>
      <c r="H94" s="16"/>
      <c r="I94" s="24">
        <v>8296228</v>
      </c>
      <c r="J94" s="16"/>
      <c r="K94" s="24">
        <v>4850211</v>
      </c>
      <c r="L94" s="16"/>
      <c r="M94" s="24">
        <v>0</v>
      </c>
      <c r="N94" s="14"/>
      <c r="O94" s="40">
        <f t="shared" si="1"/>
        <v>4460660</v>
      </c>
      <c r="P94" s="14"/>
      <c r="Q94" s="24">
        <v>61402537</v>
      </c>
      <c r="R94" s="9"/>
      <c r="S94" s="24">
        <v>0</v>
      </c>
    </row>
    <row r="95" spans="1:19" s="2" customFormat="1" ht="12.75" customHeight="1">
      <c r="A95" s="131" t="s">
        <v>81</v>
      </c>
      <c r="B95" s="18"/>
      <c r="C95" s="24">
        <v>2188423</v>
      </c>
      <c r="D95" s="16"/>
      <c r="E95" s="24">
        <v>10385167</v>
      </c>
      <c r="F95" s="16"/>
      <c r="G95" s="24">
        <v>0</v>
      </c>
      <c r="H95" s="16"/>
      <c r="I95" s="24">
        <v>3200723</v>
      </c>
      <c r="J95" s="16"/>
      <c r="K95" s="24">
        <v>1849507</v>
      </c>
      <c r="L95" s="16"/>
      <c r="M95" s="24">
        <v>3200723</v>
      </c>
      <c r="N95" s="14"/>
      <c r="O95" s="40">
        <f t="shared" si="1"/>
        <v>-2054259</v>
      </c>
      <c r="P95" s="14"/>
      <c r="Q95" s="24">
        <v>18770284</v>
      </c>
      <c r="R95" s="9"/>
      <c r="S95" s="24">
        <f>35597+409537</f>
        <v>445134</v>
      </c>
    </row>
    <row r="96" spans="1:19" s="2" customFormat="1" ht="12.75" customHeight="1">
      <c r="A96" s="131" t="s">
        <v>82</v>
      </c>
      <c r="B96" s="18"/>
      <c r="C96" s="24">
        <v>3835831</v>
      </c>
      <c r="D96" s="16"/>
      <c r="E96" s="24">
        <v>8787045</v>
      </c>
      <c r="F96" s="16"/>
      <c r="G96" s="24">
        <v>0</v>
      </c>
      <c r="H96" s="16"/>
      <c r="I96" s="24">
        <v>4506694</v>
      </c>
      <c r="J96" s="16"/>
      <c r="K96" s="24">
        <v>3314932</v>
      </c>
      <c r="L96" s="16"/>
      <c r="M96" s="24">
        <v>0</v>
      </c>
      <c r="N96" s="14"/>
      <c r="O96" s="40">
        <f t="shared" si="1"/>
        <v>1586056</v>
      </c>
      <c r="P96" s="14"/>
      <c r="Q96" s="24">
        <v>22030558</v>
      </c>
      <c r="R96" s="9"/>
      <c r="S96" s="24">
        <f>7901+92000</f>
        <v>99901</v>
      </c>
    </row>
    <row r="97" spans="1:19" s="2" customFormat="1" ht="12.75" customHeight="1" hidden="1">
      <c r="A97" s="131" t="s">
        <v>173</v>
      </c>
      <c r="B97" s="18"/>
      <c r="C97" s="24"/>
      <c r="D97" s="16"/>
      <c r="E97" s="24"/>
      <c r="F97" s="16"/>
      <c r="G97" s="24">
        <v>0</v>
      </c>
      <c r="H97" s="16"/>
      <c r="I97" s="24"/>
      <c r="J97" s="16"/>
      <c r="K97" s="24"/>
      <c r="L97" s="16"/>
      <c r="M97" s="24"/>
      <c r="N97" s="14"/>
      <c r="O97" s="40">
        <f t="shared" si="1"/>
        <v>0</v>
      </c>
      <c r="P97" s="14"/>
      <c r="Q97" s="24"/>
      <c r="R97" s="9"/>
      <c r="S97" s="24"/>
    </row>
    <row r="98" spans="1:19" s="2" customFormat="1" ht="12.75" customHeight="1">
      <c r="A98" s="131" t="s">
        <v>83</v>
      </c>
      <c r="B98" s="18"/>
      <c r="C98" s="24">
        <v>5957384</v>
      </c>
      <c r="D98" s="16"/>
      <c r="E98" s="24">
        <v>16519667</v>
      </c>
      <c r="F98" s="16"/>
      <c r="G98" s="24">
        <v>26487</v>
      </c>
      <c r="H98" s="16"/>
      <c r="I98" s="24">
        <v>6249842</v>
      </c>
      <c r="J98" s="16"/>
      <c r="K98" s="24">
        <v>3742764</v>
      </c>
      <c r="L98" s="16"/>
      <c r="M98" s="24">
        <v>0</v>
      </c>
      <c r="N98" s="14"/>
      <c r="O98" s="40">
        <f t="shared" si="1"/>
        <v>2686689</v>
      </c>
      <c r="P98" s="14"/>
      <c r="Q98" s="24">
        <v>35182833</v>
      </c>
      <c r="R98" s="9"/>
      <c r="S98" s="24">
        <v>4822892</v>
      </c>
    </row>
    <row r="99" spans="1:19" s="2" customFormat="1" ht="12.75" customHeight="1" hidden="1">
      <c r="A99" s="131" t="s">
        <v>174</v>
      </c>
      <c r="B99" s="18"/>
      <c r="C99" s="24">
        <v>0</v>
      </c>
      <c r="D99" s="14"/>
      <c r="E99" s="24">
        <v>0</v>
      </c>
      <c r="F99" s="14"/>
      <c r="G99" s="24">
        <v>0</v>
      </c>
      <c r="H99" s="14"/>
      <c r="I99" s="24">
        <v>0</v>
      </c>
      <c r="J99" s="14"/>
      <c r="K99" s="24">
        <v>0</v>
      </c>
      <c r="L99" s="14"/>
      <c r="M99" s="24">
        <v>0</v>
      </c>
      <c r="N99" s="14"/>
      <c r="O99" s="40">
        <f t="shared" si="1"/>
        <v>0</v>
      </c>
      <c r="P99" s="14"/>
      <c r="Q99" s="24">
        <v>0</v>
      </c>
      <c r="R99" s="9"/>
      <c r="S99" s="24">
        <v>0</v>
      </c>
    </row>
    <row r="100" spans="1:19" s="2" customFormat="1" ht="12.75" customHeight="1">
      <c r="A100" s="131"/>
      <c r="B100" s="18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40"/>
      <c r="P100" s="14"/>
      <c r="Q100" s="14"/>
      <c r="R100" s="9"/>
      <c r="S100" s="9"/>
    </row>
    <row r="101" spans="1:19" s="2" customFormat="1" ht="12.75" customHeight="1">
      <c r="A101" s="131" t="s">
        <v>228</v>
      </c>
      <c r="B101" s="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7"/>
      <c r="P101" s="11"/>
      <c r="Q101" s="11"/>
      <c r="R101" s="9"/>
      <c r="S101" s="9"/>
    </row>
    <row r="102" spans="1:19" s="2" customFormat="1" ht="12.75" customHeight="1">
      <c r="A102" s="135"/>
      <c r="B102" s="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01"/>
      <c r="P102" s="31"/>
      <c r="Q102" s="31"/>
      <c r="R102" s="1"/>
      <c r="S102" s="1"/>
    </row>
    <row r="103" spans="1:19" s="2" customFormat="1" ht="12.75" customHeight="1">
      <c r="A103" s="135"/>
      <c r="B103" s="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01"/>
      <c r="P103" s="31"/>
      <c r="Q103" s="31"/>
      <c r="R103" s="1"/>
      <c r="S103" s="1"/>
    </row>
    <row r="104" spans="1:19" s="2" customFormat="1" ht="12.75" customHeight="1">
      <c r="A104" s="13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99"/>
      <c r="P104" s="1"/>
      <c r="Q104" s="1"/>
      <c r="R104" s="1"/>
      <c r="S104" s="1"/>
    </row>
    <row r="105" spans="1:19" s="2" customFormat="1" ht="12.75" customHeight="1">
      <c r="A105" s="13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9"/>
      <c r="P105" s="1"/>
      <c r="Q105" s="1"/>
      <c r="R105" s="1"/>
      <c r="S105" s="1"/>
    </row>
    <row r="106" spans="1:19" s="2" customFormat="1" ht="12.75" customHeight="1">
      <c r="A106" s="13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99"/>
      <c r="P106" s="1"/>
      <c r="Q106" s="1"/>
      <c r="R106" s="1"/>
      <c r="S106" s="1"/>
    </row>
    <row r="107" spans="1:15" s="2" customFormat="1" ht="12.75" customHeight="1">
      <c r="A107" s="136"/>
      <c r="O107" s="34"/>
    </row>
    <row r="108" spans="1:15" s="2" customFormat="1" ht="12.75" customHeight="1">
      <c r="A108" s="136"/>
      <c r="O108" s="34"/>
    </row>
    <row r="109" spans="1:15" s="2" customFormat="1" ht="12.75" customHeight="1">
      <c r="A109" s="136"/>
      <c r="O109" s="34"/>
    </row>
    <row r="110" spans="1:15" s="2" customFormat="1" ht="12.75" customHeight="1">
      <c r="A110" s="136"/>
      <c r="O110" s="34"/>
    </row>
    <row r="111" spans="1:15" s="2" customFormat="1" ht="12.75" customHeight="1">
      <c r="A111" s="136"/>
      <c r="O111" s="34"/>
    </row>
    <row r="112" spans="1:15" s="2" customFormat="1" ht="12.75" customHeight="1">
      <c r="A112" s="136"/>
      <c r="O112" s="34"/>
    </row>
    <row r="113" spans="1:15" s="2" customFormat="1" ht="12.75" customHeight="1">
      <c r="A113" s="136"/>
      <c r="O113" s="34"/>
    </row>
    <row r="114" ht="12.75" customHeight="1"/>
    <row r="115" ht="12.75" customHeight="1"/>
    <row r="116" ht="12.75" customHeight="1"/>
    <row r="117" ht="12.75" customHeight="1"/>
    <row r="118" ht="12.75" customHeight="1"/>
  </sheetData>
  <sheetProtection/>
  <printOptions/>
  <pageMargins left="0.75" right="0.75" top="0.5" bottom="0.5" header="0" footer="0.25"/>
  <pageSetup firstPageNumber="24" useFirstPageNumber="1" fitToHeight="2" horizontalDpi="600" verticalDpi="600" orientation="portrait" pageOrder="overThenDown" r:id="rId1"/>
  <headerFooter scaleWithDoc="0" alignWithMargins="0">
    <oddFooter>&amp;C&amp;"Times New Roman,Regular"&amp;11&amp;P</oddFooter>
  </headerFooter>
  <rowBreaks count="1" manualBreakCount="1">
    <brk id="80" max="16" man="1"/>
  </rowBreaks>
  <colBreaks count="1" manualBreakCount="1">
    <brk id="12" min="10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K106"/>
  <sheetViews>
    <sheetView zoomScale="130" zoomScaleNormal="130"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6" sqref="C6"/>
    </sheetView>
  </sheetViews>
  <sheetFormatPr defaultColWidth="9.140625" defaultRowHeight="12" customHeight="1"/>
  <cols>
    <col min="1" max="1" width="15.7109375" style="124" customWidth="1"/>
    <col min="2" max="2" width="1.7109375" style="38" customWidth="1"/>
    <col min="3" max="3" width="11.7109375" style="38" customWidth="1"/>
    <col min="4" max="4" width="1.7109375" style="38" customWidth="1"/>
    <col min="5" max="5" width="11.7109375" style="38" customWidth="1"/>
    <col min="6" max="6" width="1.7109375" style="38" customWidth="1"/>
    <col min="7" max="7" width="11.7109375" style="38" customWidth="1"/>
    <col min="8" max="8" width="1.7109375" style="38" customWidth="1"/>
    <col min="9" max="9" width="11.7109375" style="38" customWidth="1"/>
    <col min="10" max="10" width="1.7109375" style="38" customWidth="1"/>
    <col min="11" max="11" width="11.7109375" style="38" customWidth="1"/>
    <col min="12" max="12" width="1.7109375" style="38" customWidth="1"/>
    <col min="13" max="13" width="11.7109375" style="38" customWidth="1"/>
    <col min="14" max="14" width="1.7109375" style="38" hidden="1" customWidth="1"/>
    <col min="15" max="15" width="11.7109375" style="38" customWidth="1"/>
    <col min="16" max="16" width="1.7109375" style="38" customWidth="1"/>
    <col min="17" max="17" width="11.7109375" style="38" customWidth="1"/>
    <col min="18" max="18" width="1.7109375" style="38" customWidth="1"/>
    <col min="19" max="19" width="11.7109375" style="38" customWidth="1"/>
    <col min="20" max="20" width="1.7109375" style="38" customWidth="1"/>
    <col min="21" max="21" width="11.7109375" style="38" customWidth="1"/>
    <col min="22" max="22" width="1.7109375" style="38" customWidth="1"/>
    <col min="23" max="23" width="11.7109375" style="38" customWidth="1"/>
    <col min="24" max="24" width="1.7109375" style="38" customWidth="1"/>
    <col min="25" max="25" width="11.7109375" style="38" customWidth="1"/>
    <col min="26" max="26" width="1.7109375" style="38" customWidth="1"/>
    <col min="27" max="27" width="11.7109375" style="38" customWidth="1"/>
    <col min="28" max="28" width="1.7109375" style="38" customWidth="1"/>
    <col min="29" max="29" width="11.7109375" style="124" customWidth="1"/>
    <col min="30" max="30" width="1.57421875" style="26" customWidth="1"/>
    <col min="31" max="31" width="12.00390625" style="26" bestFit="1" customWidth="1"/>
    <col min="32" max="32" width="2.57421875" style="26" customWidth="1"/>
    <col min="33" max="33" width="12.57421875" style="26" bestFit="1" customWidth="1"/>
    <col min="34" max="34" width="2.140625" style="26" customWidth="1"/>
    <col min="35" max="35" width="12.8515625" style="26" bestFit="1" customWidth="1"/>
    <col min="36" max="36" width="2.28125" style="26" customWidth="1"/>
    <col min="37" max="37" width="11.7109375" style="97" bestFit="1" customWidth="1"/>
    <col min="38" max="38" width="9.421875" style="26" bestFit="1" customWidth="1"/>
    <col min="39" max="16384" width="9.140625" style="26" customWidth="1"/>
  </cols>
  <sheetData>
    <row r="1" spans="1:31" s="66" customFormat="1" ht="12.75" customHeight="1">
      <c r="A1" s="57" t="s">
        <v>200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4"/>
      <c r="AE1" s="65"/>
    </row>
    <row r="2" spans="1:31" s="66" customFormat="1" ht="12.75" customHeight="1">
      <c r="A2" s="57" t="s">
        <v>251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4"/>
      <c r="AE2" s="65"/>
    </row>
    <row r="3" spans="1:31" ht="12.75" customHeight="1">
      <c r="A3" s="49" t="s">
        <v>247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6"/>
      <c r="AE3" s="67"/>
    </row>
    <row r="4" spans="1:31" ht="12.75" customHeight="1">
      <c r="A4" s="57" t="s">
        <v>183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36"/>
      <c r="AE4" s="67"/>
    </row>
    <row r="5" spans="1:31" ht="12.75" customHeight="1">
      <c r="A5" s="5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36"/>
      <c r="AE5" s="67"/>
    </row>
    <row r="6" spans="1:35" s="33" customFormat="1" ht="12.75" customHeight="1">
      <c r="A6" s="5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36"/>
      <c r="AE6" s="36" t="s">
        <v>206</v>
      </c>
      <c r="AG6" s="33" t="s">
        <v>211</v>
      </c>
      <c r="AI6" s="33" t="s">
        <v>214</v>
      </c>
    </row>
    <row r="7" spans="1:37" s="32" customFormat="1" ht="12.75" customHeight="1">
      <c r="A7" s="19"/>
      <c r="B7" s="19"/>
      <c r="C7" s="19" t="s">
        <v>184</v>
      </c>
      <c r="D7" s="19"/>
      <c r="E7" s="19"/>
      <c r="F7" s="19"/>
      <c r="G7" s="19" t="s">
        <v>84</v>
      </c>
      <c r="H7" s="19"/>
      <c r="I7" s="19" t="s">
        <v>84</v>
      </c>
      <c r="J7" s="19"/>
      <c r="K7" s="19"/>
      <c r="L7" s="19"/>
      <c r="M7" s="19" t="s">
        <v>85</v>
      </c>
      <c r="N7" s="19"/>
      <c r="O7" s="19" t="s">
        <v>164</v>
      </c>
      <c r="P7" s="19"/>
      <c r="Q7" s="19" t="s">
        <v>86</v>
      </c>
      <c r="R7" s="19"/>
      <c r="S7" s="19" t="s">
        <v>99</v>
      </c>
      <c r="T7" s="19"/>
      <c r="U7" s="19" t="s">
        <v>87</v>
      </c>
      <c r="V7" s="19"/>
      <c r="W7" s="19" t="s">
        <v>1</v>
      </c>
      <c r="X7" s="19"/>
      <c r="Y7" s="19"/>
      <c r="Z7" s="19"/>
      <c r="AA7" s="19" t="s">
        <v>100</v>
      </c>
      <c r="AB7" s="19"/>
      <c r="AC7" s="19"/>
      <c r="AD7" s="23"/>
      <c r="AE7" s="23" t="s">
        <v>210</v>
      </c>
      <c r="AG7" s="32" t="s">
        <v>212</v>
      </c>
      <c r="AI7" s="32" t="s">
        <v>215</v>
      </c>
      <c r="AK7" s="32" t="s">
        <v>217</v>
      </c>
    </row>
    <row r="8" spans="1:37" s="32" customFormat="1" ht="12.75" customHeight="1">
      <c r="A8" s="53" t="s">
        <v>5</v>
      </c>
      <c r="B8" s="23"/>
      <c r="C8" s="174" t="s">
        <v>185</v>
      </c>
      <c r="D8" s="23"/>
      <c r="E8" s="53" t="s">
        <v>88</v>
      </c>
      <c r="F8" s="23"/>
      <c r="G8" s="53" t="s">
        <v>89</v>
      </c>
      <c r="H8" s="23"/>
      <c r="I8" s="53" t="s">
        <v>90</v>
      </c>
      <c r="J8" s="23"/>
      <c r="K8" s="53" t="s">
        <v>91</v>
      </c>
      <c r="L8" s="23"/>
      <c r="M8" s="53" t="s">
        <v>8</v>
      </c>
      <c r="N8" s="23"/>
      <c r="O8" s="53" t="s">
        <v>165</v>
      </c>
      <c r="P8" s="23"/>
      <c r="Q8" s="53" t="s">
        <v>188</v>
      </c>
      <c r="R8" s="23"/>
      <c r="S8" s="53" t="s">
        <v>92</v>
      </c>
      <c r="T8" s="23"/>
      <c r="U8" s="53" t="s">
        <v>93</v>
      </c>
      <c r="V8" s="23"/>
      <c r="W8" s="53" t="s">
        <v>9</v>
      </c>
      <c r="X8" s="23"/>
      <c r="Y8" s="53" t="s">
        <v>94</v>
      </c>
      <c r="Z8" s="23"/>
      <c r="AA8" s="53" t="s">
        <v>95</v>
      </c>
      <c r="AB8" s="23"/>
      <c r="AC8" s="53" t="s">
        <v>4</v>
      </c>
      <c r="AD8" s="23"/>
      <c r="AE8" s="23" t="s">
        <v>207</v>
      </c>
      <c r="AG8" s="32" t="s">
        <v>213</v>
      </c>
      <c r="AI8" s="32" t="s">
        <v>216</v>
      </c>
      <c r="AK8" s="32" t="s">
        <v>218</v>
      </c>
    </row>
    <row r="9" spans="1:31" s="32" customFormat="1" ht="12.75" customHeight="1">
      <c r="A9" s="19"/>
      <c r="B9" s="23"/>
      <c r="C9" s="19"/>
      <c r="D9" s="23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23"/>
      <c r="S9" s="19"/>
      <c r="T9" s="23"/>
      <c r="U9" s="19"/>
      <c r="V9" s="23"/>
      <c r="W9" s="19"/>
      <c r="X9" s="23"/>
      <c r="Y9" s="19"/>
      <c r="Z9" s="23"/>
      <c r="AA9" s="19"/>
      <c r="AB9" s="23"/>
      <c r="AC9" s="19"/>
      <c r="AD9" s="23"/>
      <c r="AE9" s="23"/>
    </row>
    <row r="10" spans="1:37" s="32" customFormat="1" ht="12.75" customHeight="1" hidden="1">
      <c r="A10" s="89" t="s">
        <v>235</v>
      </c>
      <c r="B10" s="23"/>
      <c r="C10" s="47">
        <v>2193061</v>
      </c>
      <c r="D10" s="47"/>
      <c r="E10" s="47">
        <v>1166967</v>
      </c>
      <c r="F10" s="47"/>
      <c r="G10" s="47">
        <v>1886582</v>
      </c>
      <c r="H10" s="47"/>
      <c r="I10" s="47">
        <v>108918</v>
      </c>
      <c r="J10" s="47"/>
      <c r="K10" s="47">
        <v>40592</v>
      </c>
      <c r="L10" s="47"/>
      <c r="M10" s="47">
        <v>375451</v>
      </c>
      <c r="N10" s="47"/>
      <c r="O10" s="47">
        <v>0</v>
      </c>
      <c r="P10" s="47"/>
      <c r="Q10" s="47">
        <v>0</v>
      </c>
      <c r="R10" s="47"/>
      <c r="S10" s="47">
        <v>1308253</v>
      </c>
      <c r="T10" s="61"/>
      <c r="U10" s="47">
        <v>0</v>
      </c>
      <c r="V10" s="47"/>
      <c r="W10" s="47">
        <v>0</v>
      </c>
      <c r="X10" s="47"/>
      <c r="Y10" s="47">
        <v>0</v>
      </c>
      <c r="Z10" s="47"/>
      <c r="AA10" s="47">
        <v>0</v>
      </c>
      <c r="AB10" s="47"/>
      <c r="AC10" s="61">
        <f>SUM(C10:AA10)</f>
        <v>7079824</v>
      </c>
      <c r="AD10" s="41"/>
      <c r="AE10" s="47">
        <f>66778+86232</f>
        <v>153010</v>
      </c>
      <c r="AG10" s="47">
        <v>1047638</v>
      </c>
      <c r="AI10" s="32">
        <v>0</v>
      </c>
      <c r="AK10" s="32">
        <f>+GenRev!Q10-GenExp!AC10-AE10+GenRev!S10+AG10+AI10-'Gen Fd BS'!U10</f>
        <v>0</v>
      </c>
    </row>
    <row r="11" spans="1:37" s="32" customFormat="1" ht="12.75" customHeight="1">
      <c r="A11" s="23" t="s">
        <v>13</v>
      </c>
      <c r="B11" s="23"/>
      <c r="C11" s="47">
        <v>9286767</v>
      </c>
      <c r="D11" s="47"/>
      <c r="E11" s="47">
        <v>5521315</v>
      </c>
      <c r="F11" s="47"/>
      <c r="G11" s="47">
        <v>8591872</v>
      </c>
      <c r="H11" s="47"/>
      <c r="I11" s="47">
        <v>185907</v>
      </c>
      <c r="J11" s="47"/>
      <c r="K11" s="47">
        <v>203480</v>
      </c>
      <c r="L11" s="47"/>
      <c r="M11" s="47">
        <v>393806</v>
      </c>
      <c r="N11" s="47"/>
      <c r="O11" s="47">
        <v>0</v>
      </c>
      <c r="P11" s="47"/>
      <c r="Q11" s="47">
        <v>277377</v>
      </c>
      <c r="R11" s="47"/>
      <c r="S11" s="47">
        <v>30990</v>
      </c>
      <c r="T11" s="61"/>
      <c r="U11" s="47">
        <v>0</v>
      </c>
      <c r="V11" s="47"/>
      <c r="W11" s="47">
        <v>168803</v>
      </c>
      <c r="X11" s="47"/>
      <c r="Y11" s="47">
        <v>35333</v>
      </c>
      <c r="Z11" s="47"/>
      <c r="AA11" s="47">
        <v>22957</v>
      </c>
      <c r="AB11" s="47"/>
      <c r="AC11" s="61">
        <f>SUM(C11:AA11)</f>
        <v>24718607</v>
      </c>
      <c r="AD11" s="41"/>
      <c r="AE11" s="47">
        <v>634596</v>
      </c>
      <c r="AG11" s="47">
        <v>6756563</v>
      </c>
      <c r="AI11" s="47"/>
      <c r="AK11" s="32">
        <f>+GenRev!Q11-GenExp!AC11-AE11+GenRev!S11+AG11+AI11-'Gen Fd BS'!U11</f>
        <v>0</v>
      </c>
    </row>
    <row r="12" spans="1:37" s="32" customFormat="1" ht="12.75" customHeight="1">
      <c r="A12" s="23" t="s">
        <v>14</v>
      </c>
      <c r="B12" s="23"/>
      <c r="C12" s="30">
        <v>4429224</v>
      </c>
      <c r="D12" s="30"/>
      <c r="E12" s="30">
        <v>1328440</v>
      </c>
      <c r="F12" s="30"/>
      <c r="G12" s="30">
        <f>4250533+197379</f>
        <v>4447912</v>
      </c>
      <c r="H12" s="30"/>
      <c r="I12" s="30">
        <v>81959</v>
      </c>
      <c r="J12" s="30"/>
      <c r="K12" s="30">
        <v>187402</v>
      </c>
      <c r="L12" s="30"/>
      <c r="M12" s="30">
        <v>273189</v>
      </c>
      <c r="N12" s="30"/>
      <c r="O12" s="178">
        <v>0</v>
      </c>
      <c r="P12" s="30"/>
      <c r="Q12" s="30">
        <v>29500</v>
      </c>
      <c r="R12" s="30"/>
      <c r="S12" s="30">
        <v>0</v>
      </c>
      <c r="T12" s="40"/>
      <c r="U12" s="30">
        <v>0</v>
      </c>
      <c r="V12" s="30"/>
      <c r="W12" s="30">
        <v>50000</v>
      </c>
      <c r="X12" s="30"/>
      <c r="Y12" s="30">
        <v>0</v>
      </c>
      <c r="Z12" s="30"/>
      <c r="AA12" s="30">
        <v>0</v>
      </c>
      <c r="AB12" s="30"/>
      <c r="AC12" s="40">
        <f>SUM(C12:AA12)</f>
        <v>10827626</v>
      </c>
      <c r="AD12" s="41"/>
      <c r="AE12" s="30">
        <v>653779</v>
      </c>
      <c r="AG12" s="30">
        <v>2194110</v>
      </c>
      <c r="AI12" s="30"/>
      <c r="AK12" s="32">
        <f>+GenRev!Q12-GenExp!AC12-AE12+GenRev!S12+AG12+AI12-'Gen Fd BS'!U12</f>
        <v>0</v>
      </c>
    </row>
    <row r="13" spans="1:37" s="32" customFormat="1" ht="12.75" customHeight="1">
      <c r="A13" s="23" t="s">
        <v>15</v>
      </c>
      <c r="B13" s="23"/>
      <c r="C13" s="30">
        <v>5989987</v>
      </c>
      <c r="D13" s="30"/>
      <c r="E13" s="30">
        <v>3755404</v>
      </c>
      <c r="F13" s="30"/>
      <c r="G13" s="30">
        <v>6440553</v>
      </c>
      <c r="H13" s="30"/>
      <c r="I13" s="30">
        <v>73520</v>
      </c>
      <c r="J13" s="30"/>
      <c r="K13" s="30">
        <v>207398</v>
      </c>
      <c r="L13" s="30"/>
      <c r="M13" s="30">
        <v>1092072</v>
      </c>
      <c r="N13" s="30"/>
      <c r="O13" s="178">
        <v>0</v>
      </c>
      <c r="P13" s="30"/>
      <c r="Q13" s="30">
        <v>235974</v>
      </c>
      <c r="R13" s="30"/>
      <c r="S13" s="30">
        <v>0</v>
      </c>
      <c r="T13" s="40"/>
      <c r="U13" s="30">
        <v>149651</v>
      </c>
      <c r="V13" s="30"/>
      <c r="W13" s="30">
        <v>0</v>
      </c>
      <c r="X13" s="30"/>
      <c r="Y13" s="30">
        <v>138722</v>
      </c>
      <c r="Z13" s="30"/>
      <c r="AA13" s="30">
        <v>6093</v>
      </c>
      <c r="AB13" s="30"/>
      <c r="AC13" s="40">
        <f aca="true" t="shared" si="0" ref="AC13:AC76">SUM(C13:AA13)</f>
        <v>18089374</v>
      </c>
      <c r="AD13" s="41"/>
      <c r="AE13" s="30">
        <v>846054</v>
      </c>
      <c r="AG13" s="30">
        <v>4521516</v>
      </c>
      <c r="AI13" s="30"/>
      <c r="AK13" s="32">
        <f>+GenRev!Q13-GenExp!AC13-AE13+GenRev!S13+AG13+AI13-'Gen Fd BS'!U13</f>
        <v>0</v>
      </c>
    </row>
    <row r="14" spans="1:37" s="32" customFormat="1" ht="12.75" customHeight="1" hidden="1">
      <c r="A14" s="23" t="s">
        <v>16</v>
      </c>
      <c r="B14" s="2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78">
        <v>0</v>
      </c>
      <c r="P14" s="30"/>
      <c r="Q14" s="30"/>
      <c r="R14" s="30"/>
      <c r="S14" s="30"/>
      <c r="T14" s="40"/>
      <c r="U14" s="30"/>
      <c r="V14" s="30"/>
      <c r="W14" s="30"/>
      <c r="X14" s="30"/>
      <c r="Y14" s="30"/>
      <c r="Z14" s="30"/>
      <c r="AA14" s="30"/>
      <c r="AB14" s="30"/>
      <c r="AC14" s="40">
        <f t="shared" si="0"/>
        <v>0</v>
      </c>
      <c r="AD14" s="41"/>
      <c r="AE14" s="30"/>
      <c r="AG14" s="30"/>
      <c r="AI14" s="30"/>
      <c r="AK14" s="32">
        <f>+GenRev!Q14-GenExp!AC14-AE14+GenRev!S14+AG14+AI14-'Gen Fd BS'!U14</f>
        <v>0</v>
      </c>
    </row>
    <row r="15" spans="1:37" s="32" customFormat="1" ht="12.75" customHeight="1">
      <c r="A15" s="23" t="s">
        <v>17</v>
      </c>
      <c r="B15" s="23"/>
      <c r="C15" s="30">
        <v>3117467</v>
      </c>
      <c r="D15" s="30"/>
      <c r="E15" s="30">
        <v>1529275</v>
      </c>
      <c r="F15" s="30"/>
      <c r="G15" s="30">
        <v>4724316</v>
      </c>
      <c r="H15" s="30"/>
      <c r="I15" s="30">
        <v>316278</v>
      </c>
      <c r="J15" s="30"/>
      <c r="K15" s="30">
        <v>98234</v>
      </c>
      <c r="L15" s="30"/>
      <c r="M15" s="30">
        <v>398723</v>
      </c>
      <c r="N15" s="30"/>
      <c r="O15" s="178">
        <v>0</v>
      </c>
      <c r="P15" s="30"/>
      <c r="Q15" s="30">
        <v>0</v>
      </c>
      <c r="R15" s="30"/>
      <c r="S15" s="30">
        <v>1569760</v>
      </c>
      <c r="T15" s="40"/>
      <c r="U15" s="30">
        <v>0</v>
      </c>
      <c r="V15" s="30"/>
      <c r="W15" s="30">
        <v>0</v>
      </c>
      <c r="X15" s="30"/>
      <c r="Y15" s="30">
        <v>0</v>
      </c>
      <c r="Z15" s="30"/>
      <c r="AA15" s="30">
        <v>0</v>
      </c>
      <c r="AB15" s="30"/>
      <c r="AC15" s="40">
        <f t="shared" si="0"/>
        <v>11754053</v>
      </c>
      <c r="AD15" s="41"/>
      <c r="AE15" s="30">
        <v>150000</v>
      </c>
      <c r="AG15" s="30">
        <v>7173199</v>
      </c>
      <c r="AI15" s="30"/>
      <c r="AK15" s="32">
        <f>+GenRev!Q15-GenExp!AC15-AE15+GenRev!S15+AG15+AI15-'Gen Fd BS'!U15</f>
        <v>0</v>
      </c>
    </row>
    <row r="16" spans="1:37" s="32" customFormat="1" ht="12.75" customHeight="1">
      <c r="A16" s="23" t="s">
        <v>18</v>
      </c>
      <c r="B16" s="23"/>
      <c r="C16" s="30">
        <v>7336791</v>
      </c>
      <c r="D16" s="30"/>
      <c r="E16" s="30">
        <v>2639825</v>
      </c>
      <c r="F16" s="30"/>
      <c r="G16" s="30">
        <v>6756197</v>
      </c>
      <c r="H16" s="30"/>
      <c r="I16" s="30">
        <v>519650</v>
      </c>
      <c r="J16" s="30"/>
      <c r="K16" s="30">
        <v>616897</v>
      </c>
      <c r="L16" s="30"/>
      <c r="M16" s="30">
        <v>490770</v>
      </c>
      <c r="N16" s="30"/>
      <c r="O16" s="178">
        <v>0</v>
      </c>
      <c r="P16" s="30"/>
      <c r="Q16" s="30">
        <v>0</v>
      </c>
      <c r="R16" s="30"/>
      <c r="S16" s="30">
        <v>126797</v>
      </c>
      <c r="T16" s="40"/>
      <c r="U16" s="30">
        <v>74460</v>
      </c>
      <c r="V16" s="30"/>
      <c r="W16" s="30">
        <v>0</v>
      </c>
      <c r="X16" s="30"/>
      <c r="Y16" s="30">
        <v>40679</v>
      </c>
      <c r="Z16" s="30"/>
      <c r="AA16" s="30">
        <v>9185</v>
      </c>
      <c r="AB16" s="30"/>
      <c r="AC16" s="40">
        <f t="shared" si="0"/>
        <v>18611251</v>
      </c>
      <c r="AD16" s="41"/>
      <c r="AE16" s="30">
        <v>1074676</v>
      </c>
      <c r="AG16" s="30">
        <v>6247321</v>
      </c>
      <c r="AI16" s="30"/>
      <c r="AK16" s="32">
        <f>+GenRev!Q16-GenExp!AC16-AE16+GenRev!S16+AG16+AI16-'Gen Fd BS'!U16</f>
        <v>0</v>
      </c>
    </row>
    <row r="17" spans="1:37" s="32" customFormat="1" ht="12.75" customHeight="1" hidden="1">
      <c r="A17" s="23" t="s">
        <v>238</v>
      </c>
      <c r="B17" s="2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78">
        <v>0</v>
      </c>
      <c r="P17" s="30"/>
      <c r="Q17" s="30"/>
      <c r="R17" s="30"/>
      <c r="S17" s="30"/>
      <c r="T17" s="40"/>
      <c r="U17" s="30"/>
      <c r="V17" s="30"/>
      <c r="W17" s="30"/>
      <c r="X17" s="30"/>
      <c r="Y17" s="30"/>
      <c r="Z17" s="30"/>
      <c r="AA17" s="30"/>
      <c r="AB17" s="30"/>
      <c r="AC17" s="40">
        <f t="shared" si="0"/>
        <v>0</v>
      </c>
      <c r="AD17" s="41"/>
      <c r="AE17" s="30"/>
      <c r="AG17" s="30"/>
      <c r="AI17" s="30"/>
      <c r="AK17" s="32">
        <f>+GenRev!Q17-GenExp!AC17-AE17+GenRev!S17+AG17+AI17-'Gen Fd BS'!U17</f>
        <v>0</v>
      </c>
    </row>
    <row r="18" spans="1:37" s="32" customFormat="1" ht="12.75" customHeight="1">
      <c r="A18" s="23" t="s">
        <v>236</v>
      </c>
      <c r="B18" s="23"/>
      <c r="C18" s="30">
        <v>21912267</v>
      </c>
      <c r="D18" s="30"/>
      <c r="E18" s="30">
        <v>11774967</v>
      </c>
      <c r="F18" s="30"/>
      <c r="G18" s="30">
        <v>31838091</v>
      </c>
      <c r="H18" s="30"/>
      <c r="I18" s="30">
        <v>171993</v>
      </c>
      <c r="J18" s="30"/>
      <c r="K18" s="30">
        <v>851880</v>
      </c>
      <c r="L18" s="30"/>
      <c r="M18" s="30">
        <v>1310407</v>
      </c>
      <c r="N18" s="30"/>
      <c r="O18" s="178">
        <v>0</v>
      </c>
      <c r="P18" s="30"/>
      <c r="Q18" s="30">
        <v>446231</v>
      </c>
      <c r="R18" s="30"/>
      <c r="S18" s="30">
        <v>0</v>
      </c>
      <c r="T18" s="40"/>
      <c r="U18" s="30">
        <v>0</v>
      </c>
      <c r="V18" s="30"/>
      <c r="W18" s="30">
        <v>0</v>
      </c>
      <c r="X18" s="30"/>
      <c r="Y18" s="30">
        <v>1142063</v>
      </c>
      <c r="Z18" s="30"/>
      <c r="AA18" s="30">
        <v>55065</v>
      </c>
      <c r="AB18" s="30"/>
      <c r="AC18" s="40">
        <f t="shared" si="0"/>
        <v>69502964</v>
      </c>
      <c r="AD18" s="41"/>
      <c r="AE18" s="30">
        <v>9237119</v>
      </c>
      <c r="AG18" s="30">
        <v>17635437</v>
      </c>
      <c r="AI18" s="30"/>
      <c r="AK18" s="32">
        <f>+GenRev!Q18-GenExp!AC18-AE18+GenRev!S18+AG18+AI18-'Gen Fd BS'!U18</f>
        <v>0</v>
      </c>
    </row>
    <row r="19" spans="1:37" s="32" customFormat="1" ht="12.75" customHeight="1">
      <c r="A19" s="23" t="s">
        <v>20</v>
      </c>
      <c r="B19" s="23"/>
      <c r="C19" s="30">
        <v>1890439</v>
      </c>
      <c r="D19" s="30"/>
      <c r="E19" s="30">
        <v>924332</v>
      </c>
      <c r="F19" s="30"/>
      <c r="G19" s="30">
        <v>1533984</v>
      </c>
      <c r="H19" s="30"/>
      <c r="I19" s="30">
        <v>1035</v>
      </c>
      <c r="J19" s="30"/>
      <c r="K19" s="30">
        <v>55181</v>
      </c>
      <c r="L19" s="30"/>
      <c r="M19" s="30">
        <v>323858</v>
      </c>
      <c r="N19" s="30"/>
      <c r="O19" s="30">
        <v>41948</v>
      </c>
      <c r="P19" s="30"/>
      <c r="Q19" s="30">
        <v>0</v>
      </c>
      <c r="R19" s="30"/>
      <c r="S19" s="30">
        <v>672279</v>
      </c>
      <c r="T19" s="40"/>
      <c r="U19" s="30">
        <v>6727</v>
      </c>
      <c r="V19" s="30"/>
      <c r="W19" s="30">
        <v>105949</v>
      </c>
      <c r="X19" s="30"/>
      <c r="Y19" s="30">
        <v>28143</v>
      </c>
      <c r="Z19" s="30"/>
      <c r="AA19" s="30">
        <v>21353</v>
      </c>
      <c r="AB19" s="30"/>
      <c r="AC19" s="40">
        <f t="shared" si="0"/>
        <v>5605228</v>
      </c>
      <c r="AD19" s="41"/>
      <c r="AE19" s="30">
        <v>4855</v>
      </c>
      <c r="AG19" s="30">
        <v>1289833</v>
      </c>
      <c r="AI19" s="30"/>
      <c r="AK19" s="32">
        <f>+GenRev!Q19-GenExp!AC19-AE19+GenRev!S19+AG19+AI19-'Gen Fd BS'!U19</f>
        <v>0</v>
      </c>
    </row>
    <row r="20" spans="1:37" s="32" customFormat="1" ht="12.75" customHeight="1" hidden="1">
      <c r="A20" s="23" t="s">
        <v>172</v>
      </c>
      <c r="B20" s="2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40"/>
      <c r="U20" s="30"/>
      <c r="V20" s="30"/>
      <c r="W20" s="30"/>
      <c r="X20" s="30"/>
      <c r="Y20" s="30"/>
      <c r="Z20" s="30"/>
      <c r="AA20" s="30"/>
      <c r="AB20" s="30"/>
      <c r="AC20" s="40">
        <f t="shared" si="0"/>
        <v>0</v>
      </c>
      <c r="AD20" s="41"/>
      <c r="AE20" s="30"/>
      <c r="AG20" s="30"/>
      <c r="AI20" s="30"/>
      <c r="AK20" s="32">
        <f>+GenRev!Q20-GenExp!AC20-AE20+GenRev!S20+AG20+AI20-'Gen Fd BS'!U20</f>
        <v>0</v>
      </c>
    </row>
    <row r="21" spans="1:37" s="32" customFormat="1" ht="12.75" customHeight="1">
      <c r="A21" s="23" t="s">
        <v>21</v>
      </c>
      <c r="B21" s="23"/>
      <c r="C21" s="30">
        <v>4877115</v>
      </c>
      <c r="D21" s="30"/>
      <c r="E21" s="30">
        <v>8514655</v>
      </c>
      <c r="F21" s="30"/>
      <c r="G21" s="30">
        <v>14361495</v>
      </c>
      <c r="H21" s="30"/>
      <c r="I21" s="30">
        <v>3335851</v>
      </c>
      <c r="J21" s="30"/>
      <c r="K21" s="30">
        <v>292336</v>
      </c>
      <c r="L21" s="30"/>
      <c r="M21" s="30">
        <v>822400</v>
      </c>
      <c r="N21" s="30"/>
      <c r="O21" s="30">
        <v>0</v>
      </c>
      <c r="P21" s="30"/>
      <c r="Q21" s="30">
        <v>434229</v>
      </c>
      <c r="R21" s="30"/>
      <c r="S21" s="30">
        <v>0</v>
      </c>
      <c r="T21" s="40"/>
      <c r="U21" s="30">
        <v>5000</v>
      </c>
      <c r="V21" s="30"/>
      <c r="W21" s="30">
        <v>0</v>
      </c>
      <c r="X21" s="30"/>
      <c r="Y21" s="30">
        <v>0</v>
      </c>
      <c r="Z21" s="30"/>
      <c r="AA21" s="30">
        <v>0</v>
      </c>
      <c r="AB21" s="30"/>
      <c r="AC21" s="40">
        <f t="shared" si="0"/>
        <v>32643081</v>
      </c>
      <c r="AD21" s="41"/>
      <c r="AE21" s="30">
        <v>2367062</v>
      </c>
      <c r="AG21" s="30">
        <v>9318347</v>
      </c>
      <c r="AI21" s="30"/>
      <c r="AK21" s="32">
        <f>+GenRev!Q21-GenExp!AC21-AE21+GenRev!S21+AG21+AI21-'Gen Fd BS'!U21</f>
        <v>0</v>
      </c>
    </row>
    <row r="22" spans="1:37" s="32" customFormat="1" ht="12.75" customHeight="1">
      <c r="A22" s="23" t="s">
        <v>180</v>
      </c>
      <c r="B22" s="23"/>
      <c r="C22" s="30">
        <v>14210014</v>
      </c>
      <c r="D22" s="30"/>
      <c r="E22" s="30">
        <v>8744599</v>
      </c>
      <c r="F22" s="30"/>
      <c r="G22" s="30">
        <v>21483659</v>
      </c>
      <c r="H22" s="30"/>
      <c r="I22" s="30">
        <v>0</v>
      </c>
      <c r="J22" s="30"/>
      <c r="K22" s="30">
        <v>389873</v>
      </c>
      <c r="L22" s="30"/>
      <c r="M22" s="30">
        <v>1696758</v>
      </c>
      <c r="N22" s="30"/>
      <c r="O22" s="30">
        <v>285489</v>
      </c>
      <c r="P22" s="30"/>
      <c r="Q22" s="30">
        <v>0</v>
      </c>
      <c r="R22" s="30"/>
      <c r="S22" s="30">
        <v>400342</v>
      </c>
      <c r="T22" s="40"/>
      <c r="U22" s="30">
        <v>48602</v>
      </c>
      <c r="V22" s="30"/>
      <c r="W22" s="30">
        <v>0</v>
      </c>
      <c r="X22" s="30"/>
      <c r="Y22" s="30">
        <v>0</v>
      </c>
      <c r="Z22" s="30"/>
      <c r="AA22" s="30">
        <v>0</v>
      </c>
      <c r="AB22" s="30"/>
      <c r="AC22" s="40">
        <f t="shared" si="0"/>
        <v>47259336</v>
      </c>
      <c r="AD22" s="41"/>
      <c r="AE22" s="30">
        <v>1996343</v>
      </c>
      <c r="AG22" s="30">
        <v>17202787</v>
      </c>
      <c r="AI22" s="30"/>
      <c r="AK22" s="32">
        <f>+GenRev!Q22-GenExp!AC22-AE22+GenRev!S22+AG22+AI22-'Gen Fd BS'!U22</f>
        <v>0</v>
      </c>
    </row>
    <row r="23" spans="1:37" s="32" customFormat="1" ht="12.75" customHeight="1">
      <c r="A23" s="23" t="s">
        <v>22</v>
      </c>
      <c r="B23" s="23"/>
      <c r="C23" s="30">
        <v>5462445</v>
      </c>
      <c r="D23" s="30"/>
      <c r="E23" s="30">
        <v>2383008</v>
      </c>
      <c r="F23" s="30"/>
      <c r="G23" s="30">
        <v>3969376</v>
      </c>
      <c r="H23" s="30"/>
      <c r="I23" s="30">
        <v>70571</v>
      </c>
      <c r="J23" s="30"/>
      <c r="K23" s="30">
        <v>87705</v>
      </c>
      <c r="L23" s="30"/>
      <c r="M23" s="30">
        <v>312912</v>
      </c>
      <c r="N23" s="30"/>
      <c r="O23" s="30">
        <v>0</v>
      </c>
      <c r="P23" s="30"/>
      <c r="Q23" s="30">
        <v>0</v>
      </c>
      <c r="R23" s="30"/>
      <c r="S23" s="30">
        <v>621290</v>
      </c>
      <c r="T23" s="40"/>
      <c r="U23" s="30">
        <v>190000</v>
      </c>
      <c r="V23" s="30"/>
      <c r="W23" s="30">
        <v>0</v>
      </c>
      <c r="X23" s="30"/>
      <c r="Y23" s="30">
        <v>85040</v>
      </c>
      <c r="Z23" s="30"/>
      <c r="AA23" s="30">
        <v>7808</v>
      </c>
      <c r="AB23" s="30"/>
      <c r="AC23" s="40">
        <f t="shared" si="0"/>
        <v>13190155</v>
      </c>
      <c r="AD23" s="41"/>
      <c r="AE23" s="30">
        <v>1932</v>
      </c>
      <c r="AG23" s="30">
        <v>17551939</v>
      </c>
      <c r="AI23" s="30"/>
      <c r="AK23" s="32">
        <f>+GenRev!Q23-GenExp!AC23-AE23+GenRev!S23+AG23+AI23-'Gen Fd BS'!U23</f>
        <v>0</v>
      </c>
    </row>
    <row r="24" spans="1:37" s="32" customFormat="1" ht="12.75" customHeight="1" hidden="1">
      <c r="A24" s="23" t="s">
        <v>23</v>
      </c>
      <c r="B24" s="23"/>
      <c r="C24" s="30">
        <v>5020961</v>
      </c>
      <c r="D24" s="30"/>
      <c r="E24" s="30">
        <v>5028208</v>
      </c>
      <c r="F24" s="30"/>
      <c r="G24" s="30">
        <v>6109074</v>
      </c>
      <c r="H24" s="30"/>
      <c r="I24" s="30">
        <v>53261</v>
      </c>
      <c r="J24" s="30"/>
      <c r="K24" s="30">
        <v>1780</v>
      </c>
      <c r="L24" s="30"/>
      <c r="M24" s="30">
        <v>1452544</v>
      </c>
      <c r="N24" s="30"/>
      <c r="O24" s="30">
        <v>25000</v>
      </c>
      <c r="P24" s="30"/>
      <c r="Q24" s="30">
        <v>38753</v>
      </c>
      <c r="R24" s="30"/>
      <c r="S24" s="30"/>
      <c r="T24" s="40"/>
      <c r="U24" s="30"/>
      <c r="V24" s="30"/>
      <c r="W24" s="30"/>
      <c r="X24" s="30"/>
      <c r="Y24" s="30">
        <v>89994</v>
      </c>
      <c r="Z24" s="30"/>
      <c r="AA24" s="30">
        <v>47283</v>
      </c>
      <c r="AB24" s="30"/>
      <c r="AC24" s="40">
        <f t="shared" si="0"/>
        <v>17866858</v>
      </c>
      <c r="AD24" s="41"/>
      <c r="AE24" s="30">
        <f>1362169+50847</f>
        <v>1413016</v>
      </c>
      <c r="AG24" s="30">
        <v>2020324</v>
      </c>
      <c r="AI24" s="30"/>
      <c r="AK24" s="32">
        <f>+GenRev!Q24-GenExp!AC24-AE24+GenRev!S24+AG24+AI24-'Gen Fd BS'!U24</f>
        <v>0</v>
      </c>
    </row>
    <row r="25" spans="1:37" s="32" customFormat="1" ht="12.75" customHeight="1">
      <c r="A25" s="23" t="s">
        <v>24</v>
      </c>
      <c r="B25" s="23"/>
      <c r="C25" s="30">
        <v>3075440</v>
      </c>
      <c r="D25" s="30"/>
      <c r="E25" s="30">
        <v>1745220</v>
      </c>
      <c r="F25" s="30"/>
      <c r="G25" s="30">
        <v>3003924</v>
      </c>
      <c r="H25" s="30"/>
      <c r="I25" s="30">
        <v>240220</v>
      </c>
      <c r="J25" s="30"/>
      <c r="K25" s="30">
        <v>69500</v>
      </c>
      <c r="L25" s="30"/>
      <c r="M25" s="30">
        <v>340327</v>
      </c>
      <c r="N25" s="30"/>
      <c r="O25" s="30">
        <v>0</v>
      </c>
      <c r="P25" s="30"/>
      <c r="Q25" s="30">
        <v>145000</v>
      </c>
      <c r="R25" s="30"/>
      <c r="S25" s="30">
        <v>271358</v>
      </c>
      <c r="T25" s="40"/>
      <c r="U25" s="30">
        <v>553014</v>
      </c>
      <c r="V25" s="30"/>
      <c r="W25" s="30">
        <v>0</v>
      </c>
      <c r="X25" s="30"/>
      <c r="Y25" s="30">
        <v>77838</v>
      </c>
      <c r="Z25" s="30"/>
      <c r="AA25" s="30">
        <v>15081</v>
      </c>
      <c r="AB25" s="30"/>
      <c r="AC25" s="40">
        <f t="shared" si="0"/>
        <v>9536922</v>
      </c>
      <c r="AD25" s="41"/>
      <c r="AE25" s="30">
        <v>215077</v>
      </c>
      <c r="AG25" s="30">
        <v>2140470</v>
      </c>
      <c r="AI25" s="30"/>
      <c r="AK25" s="32">
        <f>+GenRev!Q25-GenExp!AC25-AE25+GenRev!S25+AG25+AI25-'Gen Fd BS'!U25</f>
        <v>0</v>
      </c>
    </row>
    <row r="26" spans="1:37" s="32" customFormat="1" ht="12.75" customHeight="1">
      <c r="A26" s="23" t="s">
        <v>241</v>
      </c>
      <c r="B26" s="23"/>
      <c r="C26" s="30">
        <v>3073827</v>
      </c>
      <c r="D26" s="30"/>
      <c r="E26" s="30">
        <v>1772617</v>
      </c>
      <c r="F26" s="30"/>
      <c r="G26" s="30">
        <v>524588</v>
      </c>
      <c r="H26" s="30"/>
      <c r="I26" s="30">
        <v>6582110</v>
      </c>
      <c r="J26" s="30"/>
      <c r="K26" s="30">
        <v>319197</v>
      </c>
      <c r="L26" s="30"/>
      <c r="M26" s="30">
        <v>289891</v>
      </c>
      <c r="N26" s="30"/>
      <c r="O26" s="30">
        <v>0</v>
      </c>
      <c r="P26" s="30"/>
      <c r="Q26" s="30">
        <v>0</v>
      </c>
      <c r="R26" s="30"/>
      <c r="S26" s="30">
        <v>0</v>
      </c>
      <c r="T26" s="40"/>
      <c r="U26" s="30">
        <v>0</v>
      </c>
      <c r="V26" s="30"/>
      <c r="W26" s="30">
        <v>0</v>
      </c>
      <c r="X26" s="30"/>
      <c r="Y26" s="30">
        <v>0</v>
      </c>
      <c r="Z26" s="30"/>
      <c r="AA26" s="30">
        <v>0</v>
      </c>
      <c r="AB26" s="30"/>
      <c r="AC26" s="40">
        <f t="shared" si="0"/>
        <v>12562230</v>
      </c>
      <c r="AD26" s="41"/>
      <c r="AE26" s="30">
        <v>1781789</v>
      </c>
      <c r="AG26" s="30">
        <v>2603015</v>
      </c>
      <c r="AI26" s="30"/>
      <c r="AK26" s="32">
        <f>+GenRev!Q26-GenExp!AC26-AE26+GenRev!S26+AG26+AI26-'Gen Fd BS'!U26</f>
        <v>0</v>
      </c>
    </row>
    <row r="27" spans="1:37" s="32" customFormat="1" ht="12.75" customHeight="1" hidden="1">
      <c r="A27" s="23" t="s">
        <v>25</v>
      </c>
      <c r="B27" s="2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40"/>
      <c r="U27" s="30"/>
      <c r="V27" s="30"/>
      <c r="W27" s="30"/>
      <c r="X27" s="30"/>
      <c r="Y27" s="30"/>
      <c r="Z27" s="30"/>
      <c r="AA27" s="30"/>
      <c r="AB27" s="30"/>
      <c r="AC27" s="40">
        <f t="shared" si="0"/>
        <v>0</v>
      </c>
      <c r="AD27" s="41"/>
      <c r="AE27" s="30"/>
      <c r="AG27" s="30"/>
      <c r="AI27" s="30"/>
      <c r="AK27" s="32">
        <f>+GenRev!Q27-GenExp!AC27-AE27+GenRev!S27+AG27+AI27-'Gen Fd BS'!U27</f>
        <v>0</v>
      </c>
    </row>
    <row r="28" spans="1:37" s="32" customFormat="1" ht="12.75" customHeight="1" hidden="1">
      <c r="A28" s="23" t="s">
        <v>26</v>
      </c>
      <c r="B28" s="23"/>
      <c r="C28" s="30">
        <v>3716018</v>
      </c>
      <c r="D28" s="30"/>
      <c r="E28" s="30">
        <v>1918231</v>
      </c>
      <c r="F28" s="30"/>
      <c r="G28" s="30">
        <v>5110319</v>
      </c>
      <c r="H28" s="30"/>
      <c r="I28" s="30">
        <v>31585</v>
      </c>
      <c r="J28" s="30"/>
      <c r="K28" s="30">
        <v>216532</v>
      </c>
      <c r="L28" s="30"/>
      <c r="M28" s="30">
        <v>358776</v>
      </c>
      <c r="N28" s="30"/>
      <c r="O28" s="30"/>
      <c r="P28" s="30"/>
      <c r="Q28" s="30"/>
      <c r="R28" s="30"/>
      <c r="T28" s="40"/>
      <c r="U28" s="30"/>
      <c r="V28" s="30"/>
      <c r="W28" s="30">
        <v>269827</v>
      </c>
      <c r="X28" s="30"/>
      <c r="Y28" s="30"/>
      <c r="Z28" s="30"/>
      <c r="AA28" s="30"/>
      <c r="AB28" s="30"/>
      <c r="AC28" s="40">
        <f t="shared" si="0"/>
        <v>11621288</v>
      </c>
      <c r="AD28" s="41"/>
      <c r="AE28" s="30">
        <f>223105+1254408</f>
        <v>1477513</v>
      </c>
      <c r="AG28" s="30">
        <v>2893110</v>
      </c>
      <c r="AI28" s="30"/>
      <c r="AK28" s="32">
        <f>+GenRev!Q28-GenExp!AC28-AE28+GenRev!S28+AG28+AI28-'Gen Fd BS'!U28</f>
        <v>0</v>
      </c>
    </row>
    <row r="29" spans="1:37" s="32" customFormat="1" ht="12.75" customHeight="1">
      <c r="A29" s="23" t="s">
        <v>27</v>
      </c>
      <c r="B29" s="23"/>
      <c r="C29" s="30">
        <v>4329694</v>
      </c>
      <c r="D29" s="30"/>
      <c r="E29" s="30">
        <v>1348790</v>
      </c>
      <c r="F29" s="30"/>
      <c r="G29" s="30">
        <v>2169247</v>
      </c>
      <c r="H29" s="30"/>
      <c r="I29" s="30">
        <v>99538</v>
      </c>
      <c r="J29" s="30"/>
      <c r="K29" s="30">
        <v>72488</v>
      </c>
      <c r="L29" s="30"/>
      <c r="M29" s="30">
        <v>283995</v>
      </c>
      <c r="N29" s="30"/>
      <c r="O29" s="30">
        <v>72765</v>
      </c>
      <c r="P29" s="30"/>
      <c r="Q29" s="30">
        <v>0</v>
      </c>
      <c r="R29" s="30"/>
      <c r="S29" s="30">
        <v>450879</v>
      </c>
      <c r="T29" s="40"/>
      <c r="U29" s="30">
        <v>0</v>
      </c>
      <c r="V29" s="30"/>
      <c r="W29" s="30">
        <v>0</v>
      </c>
      <c r="X29" s="30"/>
      <c r="Y29" s="30">
        <v>25530</v>
      </c>
      <c r="Z29" s="30"/>
      <c r="AA29" s="30">
        <v>7257</v>
      </c>
      <c r="AB29" s="30"/>
      <c r="AC29" s="40">
        <f t="shared" si="0"/>
        <v>8860183</v>
      </c>
      <c r="AD29" s="41"/>
      <c r="AE29" s="30">
        <v>1806762</v>
      </c>
      <c r="AG29" s="30">
        <v>10487307</v>
      </c>
      <c r="AI29" s="30"/>
      <c r="AK29" s="32">
        <f>+GenRev!Q29-GenExp!AC29-AE29+GenRev!S29+AG29+AI29-'Gen Fd BS'!U29</f>
        <v>0</v>
      </c>
    </row>
    <row r="30" spans="1:37" s="32" customFormat="1" ht="12.75" customHeight="1">
      <c r="A30" s="23" t="s">
        <v>28</v>
      </c>
      <c r="B30" s="23"/>
      <c r="C30" s="30">
        <v>12865883</v>
      </c>
      <c r="D30" s="30"/>
      <c r="E30" s="30">
        <v>7878731</v>
      </c>
      <c r="F30" s="30"/>
      <c r="G30" s="30">
        <v>29061208</v>
      </c>
      <c r="H30" s="30"/>
      <c r="I30" s="30">
        <v>5146661</v>
      </c>
      <c r="J30" s="30"/>
      <c r="K30" s="30">
        <v>60000</v>
      </c>
      <c r="L30" s="30"/>
      <c r="M30" s="30">
        <v>285468</v>
      </c>
      <c r="N30" s="30"/>
      <c r="O30" s="30">
        <v>0</v>
      </c>
      <c r="P30" s="30"/>
      <c r="Q30" s="30">
        <v>9006</v>
      </c>
      <c r="R30" s="30"/>
      <c r="S30" s="30">
        <v>0</v>
      </c>
      <c r="T30" s="40"/>
      <c r="U30" s="30">
        <v>5277</v>
      </c>
      <c r="V30" s="30"/>
      <c r="W30" s="30">
        <f>250000+292000</f>
        <v>542000</v>
      </c>
      <c r="X30" s="30"/>
      <c r="Y30" s="30">
        <v>0</v>
      </c>
      <c r="Z30" s="30"/>
      <c r="AA30" s="30">
        <v>0</v>
      </c>
      <c r="AB30" s="30"/>
      <c r="AC30" s="40">
        <f t="shared" si="0"/>
        <v>55854234</v>
      </c>
      <c r="AD30" s="41"/>
      <c r="AE30" s="30">
        <v>11882419</v>
      </c>
      <c r="AG30" s="30">
        <v>23417183</v>
      </c>
      <c r="AI30" s="30"/>
      <c r="AK30" s="32">
        <f>+GenRev!Q30-GenExp!AC30-AE30+GenRev!S30+AG30+AI30-'Gen Fd BS'!U30</f>
        <v>0</v>
      </c>
    </row>
    <row r="31" spans="1:37" s="32" customFormat="1" ht="12.75" customHeight="1">
      <c r="A31" s="23" t="s">
        <v>29</v>
      </c>
      <c r="B31" s="23"/>
      <c r="C31" s="30">
        <v>9191274</v>
      </c>
      <c r="D31" s="30"/>
      <c r="E31" s="30">
        <v>4556355</v>
      </c>
      <c r="F31" s="30"/>
      <c r="G31" s="30">
        <v>7639938</v>
      </c>
      <c r="H31" s="30"/>
      <c r="I31" s="30">
        <v>60531</v>
      </c>
      <c r="J31" s="30"/>
      <c r="K31" s="30">
        <v>3574</v>
      </c>
      <c r="L31" s="30"/>
      <c r="M31" s="30">
        <v>612808</v>
      </c>
      <c r="N31" s="30"/>
      <c r="O31" s="30">
        <v>0</v>
      </c>
      <c r="P31" s="30"/>
      <c r="Q31" s="30">
        <v>0</v>
      </c>
      <c r="R31" s="30"/>
      <c r="S31" s="30">
        <v>0</v>
      </c>
      <c r="T31" s="40"/>
      <c r="U31" s="30">
        <v>0</v>
      </c>
      <c r="V31" s="30"/>
      <c r="W31" s="30">
        <v>0</v>
      </c>
      <c r="X31" s="30"/>
      <c r="Y31" s="30">
        <v>14629</v>
      </c>
      <c r="Z31" s="30"/>
      <c r="AA31" s="30">
        <v>464</v>
      </c>
      <c r="AB31" s="30"/>
      <c r="AC31" s="40">
        <f t="shared" si="0"/>
        <v>22079573</v>
      </c>
      <c r="AD31" s="41"/>
      <c r="AE31" s="30">
        <v>3035270</v>
      </c>
      <c r="AG31" s="30">
        <v>8193306</v>
      </c>
      <c r="AI31" s="30"/>
      <c r="AK31" s="32">
        <f>+GenRev!Q31-GenExp!AC31-AE31+GenRev!S31+AG31+AI31-'Gen Fd BS'!U31</f>
        <v>0</v>
      </c>
    </row>
    <row r="32" spans="1:37" s="32" customFormat="1" ht="12.75" customHeight="1">
      <c r="A32" s="23" t="s">
        <v>30</v>
      </c>
      <c r="B32" s="23"/>
      <c r="C32" s="30">
        <v>8628004</v>
      </c>
      <c r="D32" s="30"/>
      <c r="E32" s="30">
        <v>5109287</v>
      </c>
      <c r="F32" s="30"/>
      <c r="G32" s="30">
        <v>13284701</v>
      </c>
      <c r="H32" s="30"/>
      <c r="I32" s="30">
        <v>0</v>
      </c>
      <c r="J32" s="30"/>
      <c r="K32" s="30">
        <v>715564</v>
      </c>
      <c r="L32" s="30"/>
      <c r="M32" s="30">
        <v>818231</v>
      </c>
      <c r="N32" s="30"/>
      <c r="O32" s="30">
        <v>0</v>
      </c>
      <c r="P32" s="30"/>
      <c r="Q32" s="30">
        <v>0</v>
      </c>
      <c r="R32" s="30"/>
      <c r="S32" s="30">
        <f>108855+21898</f>
        <v>130753</v>
      </c>
      <c r="T32" s="40"/>
      <c r="U32" s="30">
        <v>0</v>
      </c>
      <c r="V32" s="30"/>
      <c r="W32" s="30">
        <v>1706046</v>
      </c>
      <c r="X32" s="30"/>
      <c r="Y32" s="30">
        <v>158501</v>
      </c>
      <c r="Z32" s="30"/>
      <c r="AA32" s="30">
        <v>34982</v>
      </c>
      <c r="AB32" s="30"/>
      <c r="AC32" s="40">
        <f t="shared" si="0"/>
        <v>30586069</v>
      </c>
      <c r="AD32" s="41"/>
      <c r="AE32" s="30">
        <v>3819130</v>
      </c>
      <c r="AG32" s="30">
        <v>14242648</v>
      </c>
      <c r="AI32" s="30"/>
      <c r="AK32" s="32">
        <f>+GenRev!Q32-GenExp!AC32-AE32+GenRev!S32+AG32+AI32-'Gen Fd BS'!U32</f>
        <v>0</v>
      </c>
    </row>
    <row r="33" spans="1:37" s="32" customFormat="1" ht="12.75" customHeight="1" hidden="1">
      <c r="A33" s="23" t="s">
        <v>237</v>
      </c>
      <c r="B33" s="2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40"/>
      <c r="U33" s="30"/>
      <c r="V33" s="30"/>
      <c r="W33" s="30"/>
      <c r="X33" s="30"/>
      <c r="Y33" s="30"/>
      <c r="Z33" s="30"/>
      <c r="AA33" s="30"/>
      <c r="AB33" s="30"/>
      <c r="AC33" s="40">
        <f t="shared" si="0"/>
        <v>0</v>
      </c>
      <c r="AD33" s="41"/>
      <c r="AE33" s="30"/>
      <c r="AG33" s="30"/>
      <c r="AI33" s="30"/>
      <c r="AK33" s="32">
        <f>+GenRev!Q33-GenExp!AC33-AE33+GenRev!S33+AG33+AI33-'Gen Fd BS'!U33</f>
        <v>0</v>
      </c>
    </row>
    <row r="34" spans="1:37" s="32" customFormat="1" ht="12.75" customHeight="1">
      <c r="A34" s="23" t="s">
        <v>32</v>
      </c>
      <c r="B34" s="23"/>
      <c r="C34" s="30">
        <v>78128000</v>
      </c>
      <c r="D34" s="30"/>
      <c r="E34" s="30">
        <v>66910000</v>
      </c>
      <c r="F34" s="30"/>
      <c r="G34" s="30">
        <v>116443000</v>
      </c>
      <c r="H34" s="30"/>
      <c r="I34" s="30">
        <v>556000</v>
      </c>
      <c r="J34" s="30"/>
      <c r="K34" s="30">
        <v>0</v>
      </c>
      <c r="L34" s="30"/>
      <c r="M34" s="30">
        <v>4607000</v>
      </c>
      <c r="N34" s="30"/>
      <c r="O34" s="30">
        <v>3574000</v>
      </c>
      <c r="P34" s="30"/>
      <c r="Q34" s="30">
        <v>0</v>
      </c>
      <c r="R34" s="30"/>
      <c r="S34" s="30">
        <v>0</v>
      </c>
      <c r="T34" s="40"/>
      <c r="U34" s="16">
        <v>544000</v>
      </c>
      <c r="V34" s="16"/>
      <c r="W34" s="16">
        <v>7183000</v>
      </c>
      <c r="X34" s="16"/>
      <c r="Y34" s="16">
        <v>512000</v>
      </c>
      <c r="Z34" s="16"/>
      <c r="AA34" s="16">
        <v>281000</v>
      </c>
      <c r="AB34" s="30"/>
      <c r="AC34" s="40">
        <f>SUM(C34:AA34)</f>
        <v>278738000</v>
      </c>
      <c r="AD34" s="41"/>
      <c r="AE34" s="30">
        <v>32323000</v>
      </c>
      <c r="AG34" s="30">
        <v>242472000</v>
      </c>
      <c r="AI34" s="30"/>
      <c r="AK34" s="32">
        <f>+GenRev!Q34-GenExp!AC34-AE34+GenRev!S34+AG34+AI34-'Gen Fd BS'!U34</f>
        <v>0</v>
      </c>
    </row>
    <row r="35" spans="1:37" s="32" customFormat="1" ht="12.75" customHeight="1">
      <c r="A35" s="23" t="s">
        <v>33</v>
      </c>
      <c r="B35" s="23"/>
      <c r="C35" s="30">
        <v>4016610</v>
      </c>
      <c r="D35" s="30"/>
      <c r="E35" s="30">
        <v>1476155</v>
      </c>
      <c r="F35" s="30"/>
      <c r="G35" s="30">
        <v>3117547</v>
      </c>
      <c r="H35" s="30"/>
      <c r="I35" s="30">
        <v>6299</v>
      </c>
      <c r="J35" s="30"/>
      <c r="K35" s="30">
        <v>87502</v>
      </c>
      <c r="L35" s="30"/>
      <c r="M35" s="30">
        <v>793302</v>
      </c>
      <c r="N35" s="30"/>
      <c r="O35" s="30">
        <v>0</v>
      </c>
      <c r="P35" s="30"/>
      <c r="Q35" s="30">
        <v>0</v>
      </c>
      <c r="R35" s="30"/>
      <c r="S35" s="30">
        <v>2852</v>
      </c>
      <c r="T35" s="40"/>
      <c r="U35" s="30">
        <v>1469060</v>
      </c>
      <c r="V35" s="30"/>
      <c r="W35" s="183">
        <v>815793</v>
      </c>
      <c r="X35" s="183"/>
      <c r="Y35" s="183">
        <v>5020</v>
      </c>
      <c r="Z35" s="183"/>
      <c r="AA35" s="183">
        <v>944</v>
      </c>
      <c r="AB35" s="178"/>
      <c r="AC35" s="178">
        <f t="shared" si="0"/>
        <v>11791084</v>
      </c>
      <c r="AD35" s="41"/>
      <c r="AE35" s="30">
        <v>314539</v>
      </c>
      <c r="AG35" s="30">
        <v>6103017</v>
      </c>
      <c r="AI35" s="30"/>
      <c r="AK35" s="32">
        <f>+GenRev!Q35-GenExp!AC35-AE35+GenRev!S35+AG35+AI35-'Gen Fd BS'!U35</f>
        <v>0</v>
      </c>
    </row>
    <row r="36" spans="1:37" s="32" customFormat="1" ht="12.75" customHeight="1">
      <c r="A36" s="23" t="s">
        <v>34</v>
      </c>
      <c r="B36" s="23"/>
      <c r="C36" s="30">
        <v>3860534</v>
      </c>
      <c r="D36" s="30"/>
      <c r="E36" s="30">
        <v>1281141</v>
      </c>
      <c r="F36" s="30"/>
      <c r="G36" s="30">
        <v>2554627</v>
      </c>
      <c r="H36" s="30"/>
      <c r="I36" s="30">
        <v>166425</v>
      </c>
      <c r="J36" s="30"/>
      <c r="K36" s="30">
        <v>140077</v>
      </c>
      <c r="L36" s="30"/>
      <c r="M36" s="30">
        <v>327813</v>
      </c>
      <c r="N36" s="30"/>
      <c r="O36" s="30">
        <v>0</v>
      </c>
      <c r="P36" s="30"/>
      <c r="Q36" s="30">
        <v>0</v>
      </c>
      <c r="R36" s="30"/>
      <c r="S36" s="30">
        <v>0</v>
      </c>
      <c r="T36" s="40"/>
      <c r="U36" s="30">
        <v>0</v>
      </c>
      <c r="V36" s="30"/>
      <c r="W36" s="30">
        <v>0</v>
      </c>
      <c r="X36" s="30"/>
      <c r="Y36" s="30">
        <v>2741</v>
      </c>
      <c r="Z36" s="30"/>
      <c r="AA36" s="30">
        <v>4379</v>
      </c>
      <c r="AB36" s="30"/>
      <c r="AC36" s="40">
        <f t="shared" si="0"/>
        <v>8337737</v>
      </c>
      <c r="AD36" s="41"/>
      <c r="AE36" s="30">
        <v>1112276</v>
      </c>
      <c r="AG36" s="30">
        <v>1449972</v>
      </c>
      <c r="AI36" s="30"/>
      <c r="AK36" s="32">
        <f>+GenRev!Q36-GenExp!AC36-AE36+GenRev!S36+AG36+AI36-'Gen Fd BS'!U36</f>
        <v>0</v>
      </c>
    </row>
    <row r="37" spans="1:37" s="32" customFormat="1" ht="12.75" customHeight="1">
      <c r="A37" s="23" t="s">
        <v>35</v>
      </c>
      <c r="B37" s="23"/>
      <c r="C37" s="30">
        <v>8306235</v>
      </c>
      <c r="D37" s="30"/>
      <c r="E37" s="30">
        <v>3239380</v>
      </c>
      <c r="F37" s="30"/>
      <c r="G37" s="30">
        <v>10357519</v>
      </c>
      <c r="H37" s="30"/>
      <c r="I37" s="30">
        <v>152888</v>
      </c>
      <c r="J37" s="30"/>
      <c r="K37" s="30">
        <v>763258</v>
      </c>
      <c r="L37" s="30"/>
      <c r="M37" s="30">
        <v>312425</v>
      </c>
      <c r="N37" s="30"/>
      <c r="O37" s="30">
        <v>0</v>
      </c>
      <c r="P37" s="30"/>
      <c r="Q37" s="30">
        <v>0</v>
      </c>
      <c r="R37" s="30"/>
      <c r="S37" s="30">
        <v>0</v>
      </c>
      <c r="T37" s="40"/>
      <c r="U37" s="30">
        <v>0</v>
      </c>
      <c r="V37" s="30"/>
      <c r="W37" s="30">
        <v>0</v>
      </c>
      <c r="X37" s="30"/>
      <c r="Y37" s="30">
        <v>7103</v>
      </c>
      <c r="Z37" s="30"/>
      <c r="AA37" s="30">
        <v>0</v>
      </c>
      <c r="AB37" s="30"/>
      <c r="AC37" s="40">
        <f t="shared" si="0"/>
        <v>23138808</v>
      </c>
      <c r="AD37" s="41"/>
      <c r="AE37" s="30">
        <v>3061278</v>
      </c>
      <c r="AG37" s="30">
        <v>6896408</v>
      </c>
      <c r="AI37" s="30"/>
      <c r="AK37" s="32">
        <f>+GenRev!Q37-GenExp!AC37-AE37+GenRev!S37+AG37+AI37-'Gen Fd BS'!U37</f>
        <v>0</v>
      </c>
    </row>
    <row r="38" spans="1:37" s="32" customFormat="1" ht="12.75" customHeight="1">
      <c r="A38" s="23" t="s">
        <v>181</v>
      </c>
      <c r="B38" s="23"/>
      <c r="C38" s="30">
        <v>13267205</v>
      </c>
      <c r="D38" s="30"/>
      <c r="E38" s="30">
        <v>6553419</v>
      </c>
      <c r="F38" s="30"/>
      <c r="G38" s="30">
        <v>13926347</v>
      </c>
      <c r="H38" s="30"/>
      <c r="I38" s="30">
        <v>640457</v>
      </c>
      <c r="J38" s="30"/>
      <c r="K38" s="30">
        <v>335450</v>
      </c>
      <c r="L38" s="30"/>
      <c r="M38" s="30">
        <v>727444</v>
      </c>
      <c r="N38" s="30"/>
      <c r="O38" s="30">
        <v>378367</v>
      </c>
      <c r="P38" s="30"/>
      <c r="Q38" s="30">
        <v>2072797</v>
      </c>
      <c r="R38" s="30"/>
      <c r="S38" s="30">
        <v>0</v>
      </c>
      <c r="T38" s="40"/>
      <c r="U38" s="30">
        <v>0</v>
      </c>
      <c r="V38" s="30"/>
      <c r="W38" s="30">
        <v>0</v>
      </c>
      <c r="X38" s="30"/>
      <c r="Y38" s="30">
        <v>0</v>
      </c>
      <c r="Z38" s="30"/>
      <c r="AA38" s="30">
        <v>0</v>
      </c>
      <c r="AB38" s="30"/>
      <c r="AC38" s="40">
        <f>SUM(C38:AA38)</f>
        <v>37901486</v>
      </c>
      <c r="AD38" s="41"/>
      <c r="AE38" s="30">
        <v>2478965</v>
      </c>
      <c r="AG38" s="30">
        <v>18350752</v>
      </c>
      <c r="AI38" s="30"/>
      <c r="AK38" s="32">
        <f>+GenRev!Q38-GenExp!AC38-AE38+GenRev!S38+AG38+AI38-'Gen Fd BS'!U38</f>
        <v>0</v>
      </c>
    </row>
    <row r="39" spans="1:37" s="32" customFormat="1" ht="12.75" customHeight="1" hidden="1">
      <c r="A39" s="23" t="s">
        <v>242</v>
      </c>
      <c r="B39" s="23"/>
      <c r="C39" s="24"/>
      <c r="D39" s="30"/>
      <c r="E39" s="24"/>
      <c r="F39" s="30"/>
      <c r="G39" s="24"/>
      <c r="H39" s="30"/>
      <c r="I39" s="24"/>
      <c r="J39" s="30"/>
      <c r="K39" s="24"/>
      <c r="L39" s="30"/>
      <c r="M39" s="24"/>
      <c r="N39" s="30"/>
      <c r="O39" s="24"/>
      <c r="P39" s="30"/>
      <c r="Q39" s="24"/>
      <c r="R39" s="30"/>
      <c r="S39" s="24"/>
      <c r="T39" s="40"/>
      <c r="U39" s="24"/>
      <c r="V39" s="30"/>
      <c r="W39" s="24"/>
      <c r="X39" s="30"/>
      <c r="Y39" s="24"/>
      <c r="Z39" s="30"/>
      <c r="AA39" s="24"/>
      <c r="AB39" s="30"/>
      <c r="AC39" s="40">
        <f t="shared" si="0"/>
        <v>0</v>
      </c>
      <c r="AD39" s="41"/>
      <c r="AE39" s="24"/>
      <c r="AG39" s="24"/>
      <c r="AI39" s="24"/>
      <c r="AK39" s="32">
        <f>+GenRev!Q39-GenExp!AC39-AE39+GenRev!S39+AG39+AI39-'Gen Fd BS'!U39</f>
        <v>0</v>
      </c>
    </row>
    <row r="40" spans="1:37" s="32" customFormat="1" ht="12.75" customHeight="1" hidden="1">
      <c r="A40" s="23" t="s">
        <v>37</v>
      </c>
      <c r="B40" s="23"/>
      <c r="C40" s="24"/>
      <c r="D40" s="30"/>
      <c r="E40" s="24"/>
      <c r="F40" s="30"/>
      <c r="G40" s="24"/>
      <c r="H40" s="30"/>
      <c r="I40" s="24"/>
      <c r="J40" s="30"/>
      <c r="K40" s="24"/>
      <c r="L40" s="30"/>
      <c r="M40" s="24"/>
      <c r="N40" s="30"/>
      <c r="O40" s="24"/>
      <c r="P40" s="30"/>
      <c r="Q40" s="24"/>
      <c r="R40" s="30"/>
      <c r="S40" s="24"/>
      <c r="T40" s="40"/>
      <c r="U40" s="24"/>
      <c r="V40" s="30"/>
      <c r="W40" s="24"/>
      <c r="X40" s="30"/>
      <c r="Y40" s="24"/>
      <c r="Z40" s="30"/>
      <c r="AA40" s="24"/>
      <c r="AB40" s="30"/>
      <c r="AC40" s="40">
        <f t="shared" si="0"/>
        <v>0</v>
      </c>
      <c r="AD40" s="41"/>
      <c r="AE40" s="24"/>
      <c r="AG40" s="24"/>
      <c r="AI40" s="24"/>
      <c r="AK40" s="32">
        <f>+GenRev!Q40-GenExp!AC40-AE40+GenRev!S40+AG40+AI40-'Gen Fd BS'!U40</f>
        <v>0</v>
      </c>
    </row>
    <row r="41" spans="1:37" s="32" customFormat="1" ht="12.75" customHeight="1">
      <c r="A41" s="23" t="s">
        <v>38</v>
      </c>
      <c r="B41" s="23"/>
      <c r="C41" s="24">
        <v>5340533</v>
      </c>
      <c r="D41" s="30"/>
      <c r="E41" s="24">
        <v>3149489</v>
      </c>
      <c r="F41" s="30"/>
      <c r="G41" s="24">
        <v>6371690</v>
      </c>
      <c r="H41" s="30"/>
      <c r="I41" s="24">
        <v>114015</v>
      </c>
      <c r="J41" s="30"/>
      <c r="K41" s="24">
        <v>356061</v>
      </c>
      <c r="L41" s="30"/>
      <c r="M41" s="24">
        <v>531597</v>
      </c>
      <c r="N41" s="30"/>
      <c r="O41" s="24">
        <v>19</v>
      </c>
      <c r="P41" s="30"/>
      <c r="Q41" s="24">
        <v>390392</v>
      </c>
      <c r="R41" s="30"/>
      <c r="S41" s="24">
        <v>0</v>
      </c>
      <c r="T41" s="40"/>
      <c r="U41" s="24">
        <v>0</v>
      </c>
      <c r="V41" s="30"/>
      <c r="W41" s="24">
        <v>0</v>
      </c>
      <c r="X41" s="30"/>
      <c r="Y41" s="24">
        <v>8437</v>
      </c>
      <c r="Z41" s="30"/>
      <c r="AA41" s="24">
        <v>477</v>
      </c>
      <c r="AB41" s="30"/>
      <c r="AC41" s="40">
        <f t="shared" si="0"/>
        <v>16262710</v>
      </c>
      <c r="AD41" s="41"/>
      <c r="AE41" s="24">
        <v>3186186</v>
      </c>
      <c r="AG41" s="24">
        <v>5856335</v>
      </c>
      <c r="AI41" s="24"/>
      <c r="AK41" s="32">
        <f>+GenRev!Q41-GenExp!AC41-AE41+GenRev!S41+AG41+AI41-'Gen Fd BS'!U41</f>
        <v>0</v>
      </c>
    </row>
    <row r="42" spans="1:37" s="32" customFormat="1" ht="12.75" customHeight="1" hidden="1">
      <c r="A42" s="23" t="s">
        <v>167</v>
      </c>
      <c r="B42" s="23"/>
      <c r="C42" s="24"/>
      <c r="D42" s="30"/>
      <c r="E42" s="24"/>
      <c r="F42" s="30"/>
      <c r="G42" s="24"/>
      <c r="H42" s="30"/>
      <c r="I42" s="24"/>
      <c r="J42" s="30"/>
      <c r="K42" s="24"/>
      <c r="L42" s="30"/>
      <c r="M42" s="24"/>
      <c r="N42" s="30"/>
      <c r="O42" s="24"/>
      <c r="P42" s="30"/>
      <c r="Q42" s="24"/>
      <c r="R42" s="30"/>
      <c r="S42" s="24"/>
      <c r="T42" s="40"/>
      <c r="U42" s="24"/>
      <c r="V42" s="30"/>
      <c r="W42" s="24"/>
      <c r="X42" s="30"/>
      <c r="Y42" s="24"/>
      <c r="Z42" s="30"/>
      <c r="AA42" s="24"/>
      <c r="AB42" s="30"/>
      <c r="AC42" s="40">
        <f t="shared" si="0"/>
        <v>0</v>
      </c>
      <c r="AD42" s="41"/>
      <c r="AE42" s="24"/>
      <c r="AG42" s="24"/>
      <c r="AI42" s="24"/>
      <c r="AK42" s="32">
        <f>+GenRev!Q42-GenExp!AC42-AE42+GenRev!S42+AG42+AI42-'Gen Fd BS'!U42</f>
        <v>0</v>
      </c>
    </row>
    <row r="43" spans="1:37" s="32" customFormat="1" ht="12.75" customHeight="1" hidden="1">
      <c r="A43" s="23" t="s">
        <v>39</v>
      </c>
      <c r="B43" s="23"/>
      <c r="C43" s="24"/>
      <c r="D43" s="30"/>
      <c r="E43" s="24"/>
      <c r="F43" s="30"/>
      <c r="G43" s="24"/>
      <c r="H43" s="30"/>
      <c r="I43" s="24"/>
      <c r="J43" s="30"/>
      <c r="K43" s="24"/>
      <c r="L43" s="30"/>
      <c r="M43" s="24"/>
      <c r="N43" s="30"/>
      <c r="O43" s="24"/>
      <c r="P43" s="30"/>
      <c r="Q43" s="24"/>
      <c r="R43" s="30"/>
      <c r="S43" s="24"/>
      <c r="T43" s="40"/>
      <c r="U43" s="24"/>
      <c r="V43" s="30"/>
      <c r="W43" s="24"/>
      <c r="X43" s="30"/>
      <c r="Y43" s="24"/>
      <c r="Z43" s="30"/>
      <c r="AA43" s="24"/>
      <c r="AB43" s="30"/>
      <c r="AC43" s="40">
        <f t="shared" si="0"/>
        <v>0</v>
      </c>
      <c r="AD43" s="41"/>
      <c r="AE43" s="24"/>
      <c r="AG43" s="24"/>
      <c r="AI43" s="24"/>
      <c r="AK43" s="32">
        <f>+GenRev!Q43-GenExp!AC43-AE43+GenRev!S43+AG43+AI43-'Gen Fd BS'!U43</f>
        <v>0</v>
      </c>
    </row>
    <row r="44" spans="1:37" s="32" customFormat="1" ht="12.75" customHeight="1">
      <c r="A44" s="23" t="s">
        <v>40</v>
      </c>
      <c r="B44" s="23"/>
      <c r="C44" s="24">
        <v>1968225</v>
      </c>
      <c r="D44" s="30"/>
      <c r="E44" s="24">
        <v>1406709</v>
      </c>
      <c r="F44" s="30"/>
      <c r="G44" s="24">
        <v>2700091</v>
      </c>
      <c r="H44" s="30"/>
      <c r="I44" s="24">
        <v>279431</v>
      </c>
      <c r="J44" s="30"/>
      <c r="K44" s="24">
        <v>58676</v>
      </c>
      <c r="L44" s="30"/>
      <c r="M44" s="24">
        <v>317897</v>
      </c>
      <c r="N44" s="30"/>
      <c r="O44" s="24">
        <v>169006</v>
      </c>
      <c r="P44" s="30"/>
      <c r="Q44" s="24">
        <v>0</v>
      </c>
      <c r="R44" s="30"/>
      <c r="S44" s="24">
        <v>369994</v>
      </c>
      <c r="T44" s="40"/>
      <c r="U44" s="24">
        <v>13515</v>
      </c>
      <c r="V44" s="30"/>
      <c r="W44" s="24">
        <v>172449</v>
      </c>
      <c r="X44" s="30"/>
      <c r="Y44" s="24">
        <v>0</v>
      </c>
      <c r="Z44" s="30"/>
      <c r="AA44" s="24">
        <v>0</v>
      </c>
      <c r="AB44" s="30"/>
      <c r="AC44" s="40">
        <f t="shared" si="0"/>
        <v>7455993</v>
      </c>
      <c r="AD44" s="41"/>
      <c r="AE44" s="24">
        <v>612600</v>
      </c>
      <c r="AG44" s="24">
        <v>5013804</v>
      </c>
      <c r="AI44" s="24"/>
      <c r="AK44" s="32">
        <f>+GenRev!Q44-GenExp!AC44-AE44+GenRev!S44+AG44+AI44-'Gen Fd BS'!U44</f>
        <v>0</v>
      </c>
    </row>
    <row r="45" spans="1:37" s="32" customFormat="1" ht="12.75" customHeight="1" hidden="1">
      <c r="A45" s="23" t="s">
        <v>41</v>
      </c>
      <c r="B45" s="23"/>
      <c r="C45" s="24"/>
      <c r="D45" s="30"/>
      <c r="E45" s="24"/>
      <c r="F45" s="30"/>
      <c r="G45" s="24"/>
      <c r="H45" s="30"/>
      <c r="I45" s="24"/>
      <c r="J45" s="30"/>
      <c r="K45" s="24"/>
      <c r="L45" s="30"/>
      <c r="M45" s="24"/>
      <c r="N45" s="30"/>
      <c r="O45" s="24"/>
      <c r="P45" s="30"/>
      <c r="Q45" s="24"/>
      <c r="R45" s="30"/>
      <c r="S45" s="24"/>
      <c r="T45" s="40"/>
      <c r="U45" s="24"/>
      <c r="V45" s="30"/>
      <c r="W45" s="24"/>
      <c r="X45" s="30"/>
      <c r="Y45" s="24"/>
      <c r="Z45" s="30"/>
      <c r="AA45" s="24"/>
      <c r="AB45" s="30"/>
      <c r="AC45" s="40">
        <f t="shared" si="0"/>
        <v>0</v>
      </c>
      <c r="AD45" s="41"/>
      <c r="AE45" s="24"/>
      <c r="AG45" s="24"/>
      <c r="AI45" s="24"/>
      <c r="AK45" s="32">
        <f>+GenRev!Q45-GenExp!AC45-AE45+GenRev!S45+AG45+AI45-'Gen Fd BS'!U45</f>
        <v>0</v>
      </c>
    </row>
    <row r="46" spans="1:37" s="32" customFormat="1" ht="12.75" customHeight="1">
      <c r="A46" s="23" t="s">
        <v>42</v>
      </c>
      <c r="B46" s="23"/>
      <c r="C46" s="24">
        <v>1908724</v>
      </c>
      <c r="D46" s="142"/>
      <c r="E46" s="24">
        <v>1286259</v>
      </c>
      <c r="F46" s="142"/>
      <c r="G46" s="24">
        <v>2198528</v>
      </c>
      <c r="H46" s="142"/>
      <c r="I46" s="24">
        <v>25567</v>
      </c>
      <c r="J46" s="142"/>
      <c r="K46" s="24">
        <v>75918</v>
      </c>
      <c r="L46" s="142"/>
      <c r="M46" s="24">
        <v>239093</v>
      </c>
      <c r="N46" s="142"/>
      <c r="O46" s="24">
        <v>47344</v>
      </c>
      <c r="P46" s="142"/>
      <c r="Q46" s="24">
        <v>225893</v>
      </c>
      <c r="R46" s="142"/>
      <c r="S46" s="24">
        <v>0</v>
      </c>
      <c r="T46" s="144"/>
      <c r="U46" s="24">
        <v>0</v>
      </c>
      <c r="V46" s="142"/>
      <c r="W46" s="24">
        <v>0</v>
      </c>
      <c r="X46" s="142"/>
      <c r="Y46" s="24">
        <v>0</v>
      </c>
      <c r="Z46" s="142"/>
      <c r="AA46" s="24">
        <v>0</v>
      </c>
      <c r="AB46" s="142"/>
      <c r="AC46" s="144">
        <f t="shared" si="0"/>
        <v>6007326</v>
      </c>
      <c r="AD46" s="147"/>
      <c r="AE46" s="24">
        <v>375611</v>
      </c>
      <c r="AF46" s="148"/>
      <c r="AG46" s="24">
        <v>3098689</v>
      </c>
      <c r="AH46" s="148"/>
      <c r="AI46" s="24"/>
      <c r="AJ46" s="148"/>
      <c r="AK46" s="32">
        <f>+GenRev!Q46-GenExp!AC46-AE46+GenRev!S46+AG46+AI46-'Gen Fd BS'!U46</f>
        <v>0</v>
      </c>
    </row>
    <row r="47" spans="1:37" s="32" customFormat="1" ht="12.75" customHeight="1">
      <c r="A47" s="23" t="s">
        <v>43</v>
      </c>
      <c r="B47" s="23"/>
      <c r="C47" s="24">
        <v>3164392</v>
      </c>
      <c r="D47" s="142"/>
      <c r="E47" s="24">
        <v>1617286</v>
      </c>
      <c r="F47" s="142"/>
      <c r="G47" s="24">
        <v>3175734</v>
      </c>
      <c r="H47" s="142"/>
      <c r="I47" s="24">
        <v>0</v>
      </c>
      <c r="J47" s="142"/>
      <c r="K47" s="24">
        <v>79477</v>
      </c>
      <c r="L47" s="142"/>
      <c r="M47" s="24">
        <v>470623</v>
      </c>
      <c r="N47" s="142"/>
      <c r="O47" s="24">
        <v>0</v>
      </c>
      <c r="P47" s="142"/>
      <c r="Q47" s="24">
        <v>232446</v>
      </c>
      <c r="R47" s="142"/>
      <c r="S47" s="24">
        <v>0</v>
      </c>
      <c r="T47" s="144"/>
      <c r="U47" s="24">
        <v>18797</v>
      </c>
      <c r="V47" s="142"/>
      <c r="W47" s="24">
        <v>0</v>
      </c>
      <c r="X47" s="142"/>
      <c r="Y47" s="24">
        <v>1377</v>
      </c>
      <c r="Z47" s="142"/>
      <c r="AA47" s="24">
        <v>523</v>
      </c>
      <c r="AB47" s="142"/>
      <c r="AC47" s="144">
        <f t="shared" si="0"/>
        <v>8760655</v>
      </c>
      <c r="AD47" s="147"/>
      <c r="AE47" s="24">
        <v>560162</v>
      </c>
      <c r="AF47" s="148"/>
      <c r="AG47" s="24">
        <v>1785956</v>
      </c>
      <c r="AH47" s="148"/>
      <c r="AI47" s="24"/>
      <c r="AJ47" s="148"/>
      <c r="AK47" s="32">
        <f>+GenRev!Q47-GenExp!AC47-AE47+GenRev!S47+AG47+AI47-'Gen Fd BS'!U47</f>
        <v>0</v>
      </c>
    </row>
    <row r="48" spans="1:37" s="32" customFormat="1" ht="12.75" customHeight="1">
      <c r="A48" s="23" t="s">
        <v>44</v>
      </c>
      <c r="B48" s="23"/>
      <c r="C48" s="24">
        <v>5033619</v>
      </c>
      <c r="D48" s="142"/>
      <c r="E48" s="24">
        <v>1713417</v>
      </c>
      <c r="F48" s="142"/>
      <c r="G48" s="24">
        <v>4356576</v>
      </c>
      <c r="H48" s="142"/>
      <c r="I48" s="24">
        <v>197</v>
      </c>
      <c r="J48" s="142"/>
      <c r="K48" s="24">
        <v>117568</v>
      </c>
      <c r="L48" s="142"/>
      <c r="M48" s="24">
        <v>741141</v>
      </c>
      <c r="N48" s="142"/>
      <c r="O48" s="24">
        <v>0</v>
      </c>
      <c r="P48" s="142"/>
      <c r="Q48" s="24">
        <v>0</v>
      </c>
      <c r="R48" s="142"/>
      <c r="S48" s="24">
        <v>311818</v>
      </c>
      <c r="T48" s="144"/>
      <c r="U48" s="24">
        <v>135534</v>
      </c>
      <c r="V48" s="142"/>
      <c r="W48" s="24">
        <v>0</v>
      </c>
      <c r="X48" s="142"/>
      <c r="Y48" s="24">
        <v>0</v>
      </c>
      <c r="Z48" s="142"/>
      <c r="AA48" s="24">
        <v>0</v>
      </c>
      <c r="AB48" s="142"/>
      <c r="AC48" s="144">
        <f t="shared" si="0"/>
        <v>12409870</v>
      </c>
      <c r="AD48" s="147"/>
      <c r="AE48" s="24">
        <v>1211257</v>
      </c>
      <c r="AF48" s="148"/>
      <c r="AG48" s="24">
        <v>3584518</v>
      </c>
      <c r="AH48" s="148"/>
      <c r="AI48" s="24"/>
      <c r="AJ48" s="148"/>
      <c r="AK48" s="32">
        <f>+GenRev!Q48-GenExp!AC48-AE48+GenRev!S48+AG48+AI48-'Gen Fd BS'!U48</f>
        <v>0</v>
      </c>
    </row>
    <row r="49" spans="1:37" s="32" customFormat="1" ht="12.75" customHeight="1" hidden="1">
      <c r="A49" s="23" t="s">
        <v>239</v>
      </c>
      <c r="B49" s="23"/>
      <c r="C49" s="24"/>
      <c r="D49" s="142"/>
      <c r="E49" s="24"/>
      <c r="F49" s="142"/>
      <c r="G49" s="24"/>
      <c r="H49" s="142"/>
      <c r="I49" s="24"/>
      <c r="J49" s="142"/>
      <c r="K49" s="24"/>
      <c r="L49" s="142"/>
      <c r="M49" s="24"/>
      <c r="N49" s="142"/>
      <c r="O49" s="24"/>
      <c r="P49" s="142"/>
      <c r="Q49" s="24"/>
      <c r="R49" s="142"/>
      <c r="S49" s="24"/>
      <c r="T49" s="144"/>
      <c r="U49" s="24"/>
      <c r="V49" s="142"/>
      <c r="W49" s="24">
        <v>0</v>
      </c>
      <c r="X49" s="142"/>
      <c r="Y49" s="24"/>
      <c r="Z49" s="142"/>
      <c r="AA49" s="24"/>
      <c r="AB49" s="142"/>
      <c r="AC49" s="144">
        <f t="shared" si="0"/>
        <v>0</v>
      </c>
      <c r="AD49" s="147"/>
      <c r="AE49" s="24"/>
      <c r="AF49" s="148"/>
      <c r="AG49" s="24"/>
      <c r="AH49" s="148"/>
      <c r="AI49" s="24"/>
      <c r="AJ49" s="148"/>
      <c r="AK49" s="148">
        <f>+'[1]GenRev'!Q49-'[1]GenExp'!AC49-AE49+'[1]GenRev'!S49+AG49+AI49-'[1]Gen Fd BS'!O49</f>
        <v>0</v>
      </c>
    </row>
    <row r="50" spans="1:37" s="32" customFormat="1" ht="12.75" customHeight="1">
      <c r="A50" s="23" t="s">
        <v>46</v>
      </c>
      <c r="B50" s="23"/>
      <c r="C50" s="24">
        <v>4801239</v>
      </c>
      <c r="D50" s="142"/>
      <c r="E50" s="24">
        <v>3487265</v>
      </c>
      <c r="F50" s="142"/>
      <c r="G50" s="24">
        <v>206331</v>
      </c>
      <c r="H50" s="142"/>
      <c r="I50" s="24">
        <v>0</v>
      </c>
      <c r="J50" s="142"/>
      <c r="K50" s="24">
        <v>221586</v>
      </c>
      <c r="L50" s="142"/>
      <c r="M50" s="24">
        <v>842826</v>
      </c>
      <c r="N50" s="142"/>
      <c r="O50" s="24">
        <v>75000</v>
      </c>
      <c r="P50" s="142"/>
      <c r="Q50" s="24">
        <v>68790</v>
      </c>
      <c r="R50" s="142"/>
      <c r="S50" s="24">
        <v>420928</v>
      </c>
      <c r="T50" s="144"/>
      <c r="U50" s="24">
        <v>0</v>
      </c>
      <c r="V50" s="142"/>
      <c r="W50" s="24">
        <v>0</v>
      </c>
      <c r="X50" s="142"/>
      <c r="Y50" s="24">
        <v>30565</v>
      </c>
      <c r="Z50" s="142"/>
      <c r="AA50" s="24">
        <v>2671</v>
      </c>
      <c r="AB50" s="142"/>
      <c r="AC50" s="144">
        <f t="shared" si="0"/>
        <v>10157201</v>
      </c>
      <c r="AD50" s="147"/>
      <c r="AE50" s="24">
        <v>2328024</v>
      </c>
      <c r="AF50" s="148"/>
      <c r="AG50" s="24">
        <v>4661864</v>
      </c>
      <c r="AH50" s="148"/>
      <c r="AI50" s="24"/>
      <c r="AJ50" s="148"/>
      <c r="AK50" s="32">
        <f>+GenRev!Q50-GenExp!AC50-AE50+GenRev!S50+AG50+AI50-'Gen Fd BS'!U50</f>
        <v>0</v>
      </c>
    </row>
    <row r="51" spans="1:37" s="32" customFormat="1" ht="12.75" customHeight="1">
      <c r="A51" s="23" t="s">
        <v>47</v>
      </c>
      <c r="B51" s="23"/>
      <c r="C51" s="24">
        <v>4994460</v>
      </c>
      <c r="D51" s="142"/>
      <c r="E51" s="24">
        <v>1916547</v>
      </c>
      <c r="F51" s="142"/>
      <c r="G51" s="24">
        <v>3904607</v>
      </c>
      <c r="H51" s="142"/>
      <c r="I51" s="24">
        <v>65499</v>
      </c>
      <c r="J51" s="142"/>
      <c r="K51" s="24">
        <v>173360</v>
      </c>
      <c r="L51" s="142"/>
      <c r="M51" s="24">
        <v>613996</v>
      </c>
      <c r="N51" s="142"/>
      <c r="O51" s="24">
        <v>0</v>
      </c>
      <c r="P51" s="142"/>
      <c r="Q51" s="24">
        <v>0</v>
      </c>
      <c r="R51" s="142"/>
      <c r="S51" s="24">
        <v>0</v>
      </c>
      <c r="T51" s="144"/>
      <c r="U51" s="24">
        <v>131798</v>
      </c>
      <c r="V51" s="142"/>
      <c r="W51" s="24">
        <v>0</v>
      </c>
      <c r="X51" s="142"/>
      <c r="Y51" s="24">
        <v>60071</v>
      </c>
      <c r="Z51" s="142"/>
      <c r="AA51" s="24">
        <v>24066</v>
      </c>
      <c r="AB51" s="142"/>
      <c r="AC51" s="144">
        <f t="shared" si="0"/>
        <v>11884404</v>
      </c>
      <c r="AD51" s="147"/>
      <c r="AE51" s="24">
        <v>818874</v>
      </c>
      <c r="AF51" s="148"/>
      <c r="AG51" s="24">
        <v>2727278</v>
      </c>
      <c r="AH51" s="148"/>
      <c r="AI51" s="24">
        <v>-712</v>
      </c>
      <c r="AJ51" s="148"/>
      <c r="AK51" s="32">
        <f>+GenRev!Q51-GenExp!AC51-AE51+GenRev!S51+AG51+AI51-'Gen Fd BS'!U51</f>
        <v>0</v>
      </c>
    </row>
    <row r="52" spans="1:37" s="32" customFormat="1" ht="12.75" customHeight="1" hidden="1">
      <c r="A52" s="23" t="s">
        <v>48</v>
      </c>
      <c r="B52" s="23"/>
      <c r="C52" s="24"/>
      <c r="D52" s="142"/>
      <c r="E52" s="24"/>
      <c r="F52" s="142"/>
      <c r="G52" s="24"/>
      <c r="H52" s="142"/>
      <c r="I52" s="24"/>
      <c r="J52" s="142"/>
      <c r="K52" s="24"/>
      <c r="L52" s="142"/>
      <c r="M52" s="24"/>
      <c r="N52" s="142"/>
      <c r="O52" s="24"/>
      <c r="P52" s="142"/>
      <c r="Q52" s="24"/>
      <c r="R52" s="142"/>
      <c r="S52" s="24"/>
      <c r="T52" s="144"/>
      <c r="U52" s="24"/>
      <c r="V52" s="142"/>
      <c r="W52" s="24"/>
      <c r="X52" s="142"/>
      <c r="Y52" s="24"/>
      <c r="Z52" s="142"/>
      <c r="AA52" s="24"/>
      <c r="AB52" s="142"/>
      <c r="AC52" s="144">
        <f t="shared" si="0"/>
        <v>0</v>
      </c>
      <c r="AD52" s="147"/>
      <c r="AE52" s="24"/>
      <c r="AF52" s="148"/>
      <c r="AG52" s="24"/>
      <c r="AH52" s="148"/>
      <c r="AI52" s="24"/>
      <c r="AJ52" s="148"/>
      <c r="AK52" s="32">
        <f>+GenRev!Q52-GenExp!AC52-AE52+GenRev!S52+AG52+AI52-'Gen Fd BS'!U52</f>
        <v>0</v>
      </c>
    </row>
    <row r="53" spans="1:37" s="32" customFormat="1" ht="12.75" customHeight="1" hidden="1">
      <c r="A53" s="23" t="s">
        <v>169</v>
      </c>
      <c r="B53" s="23"/>
      <c r="C53" s="24"/>
      <c r="D53" s="142"/>
      <c r="E53" s="24"/>
      <c r="F53" s="142"/>
      <c r="G53" s="24"/>
      <c r="H53" s="142"/>
      <c r="I53" s="24"/>
      <c r="J53" s="142"/>
      <c r="K53" s="24"/>
      <c r="L53" s="142"/>
      <c r="M53" s="24"/>
      <c r="N53" s="142"/>
      <c r="O53" s="24"/>
      <c r="P53" s="142"/>
      <c r="Q53" s="24"/>
      <c r="R53" s="142"/>
      <c r="S53" s="24"/>
      <c r="T53" s="144"/>
      <c r="U53" s="24"/>
      <c r="V53" s="142"/>
      <c r="W53" s="24">
        <v>0</v>
      </c>
      <c r="X53" s="142"/>
      <c r="Y53" s="24"/>
      <c r="Z53" s="142"/>
      <c r="AA53" s="24"/>
      <c r="AB53" s="142"/>
      <c r="AC53" s="144">
        <f t="shared" si="0"/>
        <v>0</v>
      </c>
      <c r="AD53" s="147"/>
      <c r="AE53" s="24"/>
      <c r="AF53" s="148"/>
      <c r="AG53" s="24"/>
      <c r="AH53" s="148"/>
      <c r="AI53" s="24"/>
      <c r="AJ53" s="148"/>
      <c r="AK53" s="32">
        <f>+GenRev!Q53-GenExp!AC53-AE53+GenRev!S53+AG53+AI53-'Gen Fd BS'!U53</f>
        <v>0</v>
      </c>
    </row>
    <row r="54" spans="1:37" s="32" customFormat="1" ht="12.75" customHeight="1">
      <c r="A54" s="23" t="s">
        <v>49</v>
      </c>
      <c r="B54" s="23"/>
      <c r="C54" s="24">
        <v>17918362</v>
      </c>
      <c r="D54" s="142"/>
      <c r="E54" s="24">
        <v>0</v>
      </c>
      <c r="F54" s="142"/>
      <c r="G54" s="24">
        <v>18402830</v>
      </c>
      <c r="H54" s="142"/>
      <c r="I54" s="24">
        <v>0</v>
      </c>
      <c r="J54" s="142"/>
      <c r="K54" s="24">
        <v>412113</v>
      </c>
      <c r="L54" s="142"/>
      <c r="M54" s="24">
        <v>2634768</v>
      </c>
      <c r="N54" s="142"/>
      <c r="O54" s="24">
        <v>0</v>
      </c>
      <c r="P54" s="142"/>
      <c r="Q54" s="24">
        <v>552157</v>
      </c>
      <c r="R54" s="142"/>
      <c r="S54" s="24">
        <v>0</v>
      </c>
      <c r="T54" s="144"/>
      <c r="U54" s="24">
        <v>144456</v>
      </c>
      <c r="V54" s="142"/>
      <c r="W54" s="24">
        <v>0</v>
      </c>
      <c r="X54" s="142"/>
      <c r="Y54" s="24">
        <v>0</v>
      </c>
      <c r="Z54" s="142"/>
      <c r="AA54" s="24">
        <v>0</v>
      </c>
      <c r="AB54" s="142"/>
      <c r="AC54" s="144">
        <f t="shared" si="0"/>
        <v>40064686</v>
      </c>
      <c r="AD54" s="147"/>
      <c r="AE54" s="24">
        <v>2403261</v>
      </c>
      <c r="AF54" s="148"/>
      <c r="AG54" s="24">
        <v>11335517</v>
      </c>
      <c r="AH54" s="148"/>
      <c r="AI54" s="24">
        <v>-18837</v>
      </c>
      <c r="AJ54" s="148"/>
      <c r="AK54" s="32">
        <f>+GenRev!Q54-GenExp!AC54-AE54+GenRev!S54+AG54+AI54-'Gen Fd BS'!U54</f>
        <v>0</v>
      </c>
    </row>
    <row r="55" spans="1:37" s="32" customFormat="1" ht="12.75" customHeight="1">
      <c r="A55" s="23" t="s">
        <v>50</v>
      </c>
      <c r="B55" s="23"/>
      <c r="C55" s="24">
        <v>3632083</v>
      </c>
      <c r="D55" s="142"/>
      <c r="E55" s="24">
        <v>1961153</v>
      </c>
      <c r="F55" s="142"/>
      <c r="G55" s="24">
        <v>4401058</v>
      </c>
      <c r="H55" s="142"/>
      <c r="I55" s="24">
        <v>109127</v>
      </c>
      <c r="J55" s="142"/>
      <c r="K55" s="24">
        <v>101637</v>
      </c>
      <c r="L55" s="142"/>
      <c r="M55" s="24">
        <v>506243</v>
      </c>
      <c r="N55" s="142"/>
      <c r="O55" s="24">
        <v>0</v>
      </c>
      <c r="P55" s="142"/>
      <c r="Q55" s="24">
        <v>0</v>
      </c>
      <c r="R55" s="142"/>
      <c r="S55" s="24">
        <v>0</v>
      </c>
      <c r="T55" s="144"/>
      <c r="U55" s="24">
        <v>0</v>
      </c>
      <c r="V55" s="142"/>
      <c r="W55" s="24">
        <v>0</v>
      </c>
      <c r="X55" s="142"/>
      <c r="Y55" s="24">
        <v>0</v>
      </c>
      <c r="Z55" s="142"/>
      <c r="AA55" s="24">
        <v>0</v>
      </c>
      <c r="AB55" s="142"/>
      <c r="AC55" s="144">
        <f t="shared" si="0"/>
        <v>10711301</v>
      </c>
      <c r="AD55" s="147"/>
      <c r="AE55" s="24">
        <v>860145</v>
      </c>
      <c r="AF55" s="148"/>
      <c r="AG55" s="24">
        <v>2950344</v>
      </c>
      <c r="AH55" s="148"/>
      <c r="AI55" s="24">
        <v>-2494</v>
      </c>
      <c r="AJ55" s="148"/>
      <c r="AK55" s="32">
        <f>+GenRev!Q55-GenExp!AC55-AE55+GenRev!S55+AG55+AI55-'Gen Fd BS'!U55</f>
        <v>15205</v>
      </c>
    </row>
    <row r="56" spans="1:37" s="32" customFormat="1" ht="12.75" customHeight="1">
      <c r="A56" s="23" t="s">
        <v>244</v>
      </c>
      <c r="B56" s="23"/>
      <c r="C56" s="24">
        <v>21447990</v>
      </c>
      <c r="D56" s="142"/>
      <c r="E56" s="24">
        <v>13362590</v>
      </c>
      <c r="F56" s="142"/>
      <c r="G56" s="24">
        <v>6258428</v>
      </c>
      <c r="H56" s="142"/>
      <c r="I56" s="24">
        <v>55116</v>
      </c>
      <c r="J56" s="142"/>
      <c r="K56" s="24">
        <v>2939</v>
      </c>
      <c r="L56" s="142"/>
      <c r="M56" s="24">
        <v>1986207</v>
      </c>
      <c r="N56" s="142"/>
      <c r="O56" s="24">
        <v>0</v>
      </c>
      <c r="P56" s="142"/>
      <c r="Q56" s="24">
        <v>0</v>
      </c>
      <c r="R56" s="142"/>
      <c r="S56" s="24">
        <v>0</v>
      </c>
      <c r="T56" s="144"/>
      <c r="U56" s="24">
        <v>95370</v>
      </c>
      <c r="V56" s="142"/>
      <c r="W56" s="24">
        <v>199430</v>
      </c>
      <c r="X56" s="142"/>
      <c r="Y56" s="24">
        <v>0</v>
      </c>
      <c r="Z56" s="142"/>
      <c r="AA56" s="24">
        <v>0</v>
      </c>
      <c r="AB56" s="142"/>
      <c r="AC56" s="144">
        <f t="shared" si="0"/>
        <v>43408070</v>
      </c>
      <c r="AD56" s="147"/>
      <c r="AE56" s="24">
        <v>253088</v>
      </c>
      <c r="AF56" s="148"/>
      <c r="AG56" s="24">
        <v>23275951</v>
      </c>
      <c r="AH56" s="148"/>
      <c r="AI56" s="24">
        <v>-15106</v>
      </c>
      <c r="AJ56" s="148"/>
      <c r="AK56" s="32">
        <f>+GenRev!Q56-GenExp!AC56-AE56+GenRev!S56+AG56+AI56-'Gen Fd BS'!U56</f>
        <v>0</v>
      </c>
    </row>
    <row r="57" spans="1:37" s="32" customFormat="1" ht="12.75" customHeight="1">
      <c r="A57" s="23" t="s">
        <v>182</v>
      </c>
      <c r="B57" s="23"/>
      <c r="C57" s="24">
        <v>23117394</v>
      </c>
      <c r="D57" s="142"/>
      <c r="E57" s="24">
        <v>38884835</v>
      </c>
      <c r="F57" s="142"/>
      <c r="G57" s="24">
        <v>35347784</v>
      </c>
      <c r="H57" s="142"/>
      <c r="I57" s="24">
        <v>265334</v>
      </c>
      <c r="J57" s="142"/>
      <c r="K57" s="24">
        <v>1278596</v>
      </c>
      <c r="L57" s="142"/>
      <c r="M57" s="24">
        <v>1431239</v>
      </c>
      <c r="N57" s="142"/>
      <c r="O57" s="24">
        <v>0</v>
      </c>
      <c r="P57" s="142"/>
      <c r="Q57" s="24">
        <v>228888</v>
      </c>
      <c r="R57" s="142"/>
      <c r="S57" s="24">
        <v>637908</v>
      </c>
      <c r="T57" s="144"/>
      <c r="U57" s="24">
        <v>0</v>
      </c>
      <c r="V57" s="142"/>
      <c r="W57" s="24">
        <v>0</v>
      </c>
      <c r="X57" s="142"/>
      <c r="Y57" s="24">
        <v>2612</v>
      </c>
      <c r="Z57" s="142"/>
      <c r="AA57" s="24">
        <v>486</v>
      </c>
      <c r="AB57" s="142"/>
      <c r="AC57" s="144">
        <f t="shared" si="0"/>
        <v>101195076</v>
      </c>
      <c r="AD57" s="147"/>
      <c r="AE57" s="24">
        <v>20001495</v>
      </c>
      <c r="AF57" s="148"/>
      <c r="AG57" s="24">
        <v>32218080</v>
      </c>
      <c r="AH57" s="148"/>
      <c r="AI57" s="24"/>
      <c r="AJ57" s="148"/>
      <c r="AK57" s="32">
        <f>+GenRev!Q57-GenExp!AC57-AE57+GenRev!S57+AG57+AI57-'Gen Fd BS'!U57</f>
        <v>0</v>
      </c>
    </row>
    <row r="58" spans="1:37" s="32" customFormat="1" ht="12.75" customHeight="1" hidden="1">
      <c r="A58" s="23" t="s">
        <v>52</v>
      </c>
      <c r="B58" s="23"/>
      <c r="C58" s="24"/>
      <c r="D58" s="142"/>
      <c r="E58" s="24"/>
      <c r="F58" s="142"/>
      <c r="G58" s="24"/>
      <c r="H58" s="142"/>
      <c r="I58" s="24"/>
      <c r="J58" s="142"/>
      <c r="K58" s="24"/>
      <c r="L58" s="142"/>
      <c r="M58" s="24"/>
      <c r="N58" s="142"/>
      <c r="O58" s="24"/>
      <c r="P58" s="142"/>
      <c r="Q58" s="24"/>
      <c r="R58" s="142"/>
      <c r="S58" s="24"/>
      <c r="T58" s="144"/>
      <c r="U58" s="24"/>
      <c r="V58" s="142"/>
      <c r="W58" s="24"/>
      <c r="X58" s="142"/>
      <c r="Y58" s="24"/>
      <c r="Z58" s="142"/>
      <c r="AA58" s="24"/>
      <c r="AB58" s="142"/>
      <c r="AC58" s="144">
        <f t="shared" si="0"/>
        <v>0</v>
      </c>
      <c r="AD58" s="147"/>
      <c r="AE58" s="24"/>
      <c r="AF58" s="148"/>
      <c r="AG58" s="24"/>
      <c r="AH58" s="148"/>
      <c r="AI58" s="24"/>
      <c r="AJ58" s="148"/>
      <c r="AK58" s="32">
        <f>+GenRev!Q58-GenExp!AC58-AE58+GenRev!S58+AG58+AI58-'Gen Fd BS'!U58</f>
        <v>0</v>
      </c>
    </row>
    <row r="59" spans="1:37" s="32" customFormat="1" ht="12.75" customHeight="1">
      <c r="A59" s="23" t="s">
        <v>53</v>
      </c>
      <c r="B59" s="23"/>
      <c r="C59" s="24">
        <v>14675586</v>
      </c>
      <c r="D59" s="142"/>
      <c r="E59" s="24">
        <v>15897501</v>
      </c>
      <c r="F59" s="142"/>
      <c r="G59" s="24">
        <v>19376774</v>
      </c>
      <c r="H59" s="142"/>
      <c r="I59" s="24">
        <v>0</v>
      </c>
      <c r="J59" s="142"/>
      <c r="K59" s="24">
        <v>0</v>
      </c>
      <c r="L59" s="142"/>
      <c r="M59" s="24">
        <v>1139816</v>
      </c>
      <c r="N59" s="142"/>
      <c r="O59" s="24">
        <v>0</v>
      </c>
      <c r="P59" s="142"/>
      <c r="Q59" s="24">
        <v>0</v>
      </c>
      <c r="R59" s="142"/>
      <c r="S59" s="24">
        <v>0</v>
      </c>
      <c r="T59" s="144"/>
      <c r="U59" s="24">
        <v>0</v>
      </c>
      <c r="V59" s="142"/>
      <c r="W59" s="24">
        <v>0</v>
      </c>
      <c r="X59" s="142"/>
      <c r="Y59" s="24">
        <v>254057</v>
      </c>
      <c r="Z59" s="142"/>
      <c r="AA59" s="24">
        <v>0</v>
      </c>
      <c r="AB59" s="142"/>
      <c r="AC59" s="144">
        <f t="shared" si="0"/>
        <v>51343734</v>
      </c>
      <c r="AD59" s="147"/>
      <c r="AE59" s="24">
        <v>5925294</v>
      </c>
      <c r="AF59" s="148"/>
      <c r="AG59" s="24">
        <v>12585821</v>
      </c>
      <c r="AH59" s="148"/>
      <c r="AI59" s="24"/>
      <c r="AJ59" s="148"/>
      <c r="AK59" s="32">
        <f>+GenRev!Q59-GenExp!AC59-AE59+GenRev!S59+AG59+AI59-'Gen Fd BS'!U59</f>
        <v>0</v>
      </c>
    </row>
    <row r="60" spans="1:37" s="32" customFormat="1" ht="12.75" customHeight="1">
      <c r="A60" s="23" t="s">
        <v>54</v>
      </c>
      <c r="B60" s="23"/>
      <c r="C60" s="24">
        <v>5224616</v>
      </c>
      <c r="D60" s="142"/>
      <c r="E60" s="24">
        <v>2165244</v>
      </c>
      <c r="F60" s="142"/>
      <c r="G60" s="24">
        <v>7016981</v>
      </c>
      <c r="H60" s="142"/>
      <c r="I60" s="24">
        <v>6226</v>
      </c>
      <c r="J60" s="142"/>
      <c r="K60" s="24">
        <v>158260</v>
      </c>
      <c r="L60" s="142"/>
      <c r="M60" s="24">
        <v>310907</v>
      </c>
      <c r="N60" s="142"/>
      <c r="O60" s="24">
        <v>0</v>
      </c>
      <c r="P60" s="142"/>
      <c r="Q60" s="24">
        <v>2000</v>
      </c>
      <c r="R60" s="142"/>
      <c r="S60" s="24">
        <v>0</v>
      </c>
      <c r="T60" s="144"/>
      <c r="U60" s="24">
        <v>0</v>
      </c>
      <c r="V60" s="142"/>
      <c r="W60" s="24">
        <f>3600+11530+159990+140000</f>
        <v>315120</v>
      </c>
      <c r="X60" s="142"/>
      <c r="Y60" s="24">
        <v>0</v>
      </c>
      <c r="Z60" s="142"/>
      <c r="AA60" s="24">
        <v>0</v>
      </c>
      <c r="AB60" s="142"/>
      <c r="AC60" s="144">
        <f t="shared" si="0"/>
        <v>15199354</v>
      </c>
      <c r="AD60" s="147"/>
      <c r="AE60" s="24">
        <v>981527</v>
      </c>
      <c r="AF60" s="148"/>
      <c r="AG60" s="24">
        <v>3672325</v>
      </c>
      <c r="AH60" s="148"/>
      <c r="AI60" s="24"/>
      <c r="AJ60" s="148"/>
      <c r="AK60" s="32">
        <f>+GenRev!Q60-GenExp!AC60-AE60+GenRev!S60+AG60+AI60-'Gen Fd BS'!U60</f>
        <v>0</v>
      </c>
    </row>
    <row r="61" spans="1:37" s="32" customFormat="1" ht="12.75" customHeight="1">
      <c r="A61" s="23" t="s">
        <v>55</v>
      </c>
      <c r="B61" s="23"/>
      <c r="C61" s="24">
        <v>8727293</v>
      </c>
      <c r="D61" s="142"/>
      <c r="E61" s="24">
        <v>7525776</v>
      </c>
      <c r="F61" s="142"/>
      <c r="G61" s="24">
        <v>15203331</v>
      </c>
      <c r="H61" s="142"/>
      <c r="I61" s="24">
        <v>473549</v>
      </c>
      <c r="J61" s="142"/>
      <c r="K61" s="24">
        <v>529948</v>
      </c>
      <c r="L61" s="142"/>
      <c r="M61" s="24">
        <v>1782067</v>
      </c>
      <c r="N61" s="142"/>
      <c r="O61" s="24">
        <v>78625</v>
      </c>
      <c r="P61" s="142"/>
      <c r="Q61" s="24">
        <v>0</v>
      </c>
      <c r="R61" s="142"/>
      <c r="S61" s="24">
        <v>0</v>
      </c>
      <c r="T61" s="144"/>
      <c r="U61" s="24">
        <v>0</v>
      </c>
      <c r="V61" s="142"/>
      <c r="W61" s="24">
        <v>319065</v>
      </c>
      <c r="X61" s="142"/>
      <c r="Y61" s="24">
        <v>0</v>
      </c>
      <c r="Z61" s="142"/>
      <c r="AA61" s="24">
        <v>0</v>
      </c>
      <c r="AB61" s="142"/>
      <c r="AC61" s="144">
        <f t="shared" si="0"/>
        <v>34639654</v>
      </c>
      <c r="AD61" s="147"/>
      <c r="AE61" s="24">
        <v>1706483</v>
      </c>
      <c r="AF61" s="148"/>
      <c r="AG61" s="24">
        <v>8045999</v>
      </c>
      <c r="AH61" s="148"/>
      <c r="AI61" s="24"/>
      <c r="AJ61" s="148"/>
      <c r="AK61" s="32">
        <f>+GenRev!Q61-GenExp!AC61-AE61+GenRev!S61+AG61+AI61-'Gen Fd BS'!U61</f>
        <v>0</v>
      </c>
    </row>
    <row r="62" spans="1:37" s="32" customFormat="1" ht="12.75" customHeight="1" hidden="1">
      <c r="A62" s="23" t="s">
        <v>170</v>
      </c>
      <c r="B62" s="23"/>
      <c r="C62" s="24"/>
      <c r="D62" s="142"/>
      <c r="E62" s="24"/>
      <c r="F62" s="142"/>
      <c r="G62" s="24"/>
      <c r="H62" s="142"/>
      <c r="I62" s="24"/>
      <c r="J62" s="142"/>
      <c r="K62" s="24"/>
      <c r="L62" s="142"/>
      <c r="M62" s="24"/>
      <c r="N62" s="142"/>
      <c r="O62" s="24"/>
      <c r="P62" s="142"/>
      <c r="Q62" s="24"/>
      <c r="R62" s="142"/>
      <c r="S62" s="24"/>
      <c r="T62" s="144"/>
      <c r="U62" s="24"/>
      <c r="V62" s="142"/>
      <c r="W62" s="24"/>
      <c r="X62" s="142"/>
      <c r="Y62" s="24"/>
      <c r="Z62" s="142"/>
      <c r="AA62" s="24"/>
      <c r="AB62" s="142"/>
      <c r="AC62" s="144">
        <f t="shared" si="0"/>
        <v>0</v>
      </c>
      <c r="AD62" s="147"/>
      <c r="AE62" s="24"/>
      <c r="AF62" s="148"/>
      <c r="AG62" s="24"/>
      <c r="AH62" s="148"/>
      <c r="AI62" s="24"/>
      <c r="AJ62" s="148"/>
      <c r="AK62" s="32">
        <f>+GenRev!Q62-GenExp!AC62-AE62+GenRev!S62+AG62+AI62-'Gen Fd BS'!U62</f>
        <v>0</v>
      </c>
    </row>
    <row r="63" spans="1:37" s="32" customFormat="1" ht="12.75" customHeight="1" hidden="1">
      <c r="A63" s="23" t="s">
        <v>56</v>
      </c>
      <c r="B63" s="23"/>
      <c r="C63" s="24"/>
      <c r="D63" s="142"/>
      <c r="E63" s="24"/>
      <c r="F63" s="142"/>
      <c r="G63" s="24"/>
      <c r="H63" s="142"/>
      <c r="I63" s="24"/>
      <c r="J63" s="142"/>
      <c r="K63" s="24"/>
      <c r="L63" s="142"/>
      <c r="M63" s="24"/>
      <c r="N63" s="142"/>
      <c r="O63" s="24"/>
      <c r="P63" s="142"/>
      <c r="Q63" s="24"/>
      <c r="R63" s="142"/>
      <c r="S63" s="24"/>
      <c r="T63" s="144"/>
      <c r="U63" s="24"/>
      <c r="V63" s="142"/>
      <c r="W63" s="24"/>
      <c r="X63" s="142"/>
      <c r="Y63" s="24"/>
      <c r="Z63" s="142"/>
      <c r="AA63" s="24"/>
      <c r="AB63" s="142"/>
      <c r="AC63" s="144">
        <f t="shared" si="0"/>
        <v>0</v>
      </c>
      <c r="AD63" s="147"/>
      <c r="AE63" s="24"/>
      <c r="AF63" s="148"/>
      <c r="AG63" s="24"/>
      <c r="AH63" s="148"/>
      <c r="AI63" s="24"/>
      <c r="AJ63" s="148"/>
      <c r="AK63" s="32">
        <f>+GenRev!Q63-GenExp!AC63-AE63+GenRev!S63+AG63+AI63-'Gen Fd BS'!U63</f>
        <v>0</v>
      </c>
    </row>
    <row r="64" spans="1:37" s="32" customFormat="1" ht="12.75" customHeight="1">
      <c r="A64" s="23" t="s">
        <v>57</v>
      </c>
      <c r="B64" s="23"/>
      <c r="C64" s="24">
        <v>10733380</v>
      </c>
      <c r="D64" s="142"/>
      <c r="E64" s="24">
        <v>0</v>
      </c>
      <c r="F64" s="142"/>
      <c r="G64" s="24">
        <v>8277446</v>
      </c>
      <c r="H64" s="142"/>
      <c r="I64" s="24">
        <v>207667</v>
      </c>
      <c r="J64" s="142"/>
      <c r="K64" s="24">
        <v>231263</v>
      </c>
      <c r="L64" s="142"/>
      <c r="M64" s="24">
        <v>2194670</v>
      </c>
      <c r="N64" s="142"/>
      <c r="O64" s="24">
        <v>0</v>
      </c>
      <c r="P64" s="142"/>
      <c r="Q64" s="24">
        <v>419945</v>
      </c>
      <c r="R64" s="142"/>
      <c r="S64" s="24">
        <v>0</v>
      </c>
      <c r="T64" s="144"/>
      <c r="U64" s="24">
        <v>0</v>
      </c>
      <c r="V64" s="142"/>
      <c r="W64" s="24">
        <v>0</v>
      </c>
      <c r="X64" s="142"/>
      <c r="Y64" s="24">
        <v>3594</v>
      </c>
      <c r="Z64" s="142"/>
      <c r="AA64" s="24">
        <v>78</v>
      </c>
      <c r="AB64" s="142"/>
      <c r="AC64" s="144">
        <f t="shared" si="0"/>
        <v>22068043</v>
      </c>
      <c r="AD64" s="147"/>
      <c r="AE64" s="24">
        <v>350292</v>
      </c>
      <c r="AF64" s="148"/>
      <c r="AG64" s="24">
        <v>13091717</v>
      </c>
      <c r="AH64" s="148"/>
      <c r="AI64" s="24"/>
      <c r="AJ64" s="148"/>
      <c r="AK64" s="32">
        <f>+GenRev!Q64-GenExp!AC64-AE64+GenRev!S64+AG64+AI64-'Gen Fd BS'!U64</f>
        <v>0</v>
      </c>
    </row>
    <row r="65" spans="1:37" s="32" customFormat="1" ht="12.75" customHeight="1" hidden="1">
      <c r="A65" s="23" t="s">
        <v>58</v>
      </c>
      <c r="B65" s="23"/>
      <c r="C65" s="24"/>
      <c r="D65" s="142"/>
      <c r="E65" s="24"/>
      <c r="F65" s="142"/>
      <c r="G65" s="24"/>
      <c r="H65" s="142"/>
      <c r="I65" s="24"/>
      <c r="J65" s="142"/>
      <c r="K65" s="24"/>
      <c r="L65" s="142"/>
      <c r="M65" s="24"/>
      <c r="N65" s="142"/>
      <c r="O65" s="24"/>
      <c r="P65" s="142"/>
      <c r="Q65" s="24"/>
      <c r="R65" s="142"/>
      <c r="S65" s="24"/>
      <c r="T65" s="144"/>
      <c r="U65" s="24"/>
      <c r="V65" s="142"/>
      <c r="W65" s="24"/>
      <c r="X65" s="142"/>
      <c r="Y65" s="24"/>
      <c r="Z65" s="142"/>
      <c r="AA65" s="24"/>
      <c r="AB65" s="142"/>
      <c r="AC65" s="144">
        <f t="shared" si="0"/>
        <v>0</v>
      </c>
      <c r="AD65" s="147"/>
      <c r="AE65" s="24"/>
      <c r="AF65" s="148"/>
      <c r="AG65" s="24"/>
      <c r="AH65" s="148"/>
      <c r="AI65" s="24"/>
      <c r="AJ65" s="148"/>
      <c r="AK65" s="32">
        <f>+GenRev!Q65-GenExp!AC65-AE65+GenRev!S65+AG65+AI65-'Gen Fd BS'!U65</f>
        <v>0</v>
      </c>
    </row>
    <row r="66" spans="1:37" s="32" customFormat="1" ht="12.75" customHeight="1">
      <c r="A66" s="23" t="s">
        <v>59</v>
      </c>
      <c r="B66" s="23"/>
      <c r="C66" s="24">
        <v>20387228</v>
      </c>
      <c r="D66" s="30"/>
      <c r="E66" s="24">
        <v>93055529</v>
      </c>
      <c r="F66" s="30"/>
      <c r="G66" s="24">
        <v>0</v>
      </c>
      <c r="H66" s="30"/>
      <c r="I66" s="24">
        <v>428055</v>
      </c>
      <c r="J66" s="30"/>
      <c r="K66" s="24">
        <v>0</v>
      </c>
      <c r="L66" s="30"/>
      <c r="M66" s="24">
        <v>2101616</v>
      </c>
      <c r="N66" s="30"/>
      <c r="O66" s="24">
        <v>1797160</v>
      </c>
      <c r="P66" s="30"/>
      <c r="Q66" s="24">
        <v>0</v>
      </c>
      <c r="R66" s="30"/>
      <c r="S66" s="24">
        <v>0</v>
      </c>
      <c r="T66" s="40"/>
      <c r="U66" s="24">
        <v>0</v>
      </c>
      <c r="V66" s="30"/>
      <c r="W66" s="24">
        <f>51701+990869+216879+20000</f>
        <v>1279449</v>
      </c>
      <c r="X66" s="30"/>
      <c r="Y66" s="24">
        <v>94235</v>
      </c>
      <c r="Z66" s="30"/>
      <c r="AA66" s="24">
        <v>5492</v>
      </c>
      <c r="AB66" s="30"/>
      <c r="AC66" s="40">
        <f t="shared" si="0"/>
        <v>119148764</v>
      </c>
      <c r="AD66" s="41"/>
      <c r="AE66" s="24">
        <v>22533734</v>
      </c>
      <c r="AG66" s="24">
        <v>56665846</v>
      </c>
      <c r="AI66" s="24"/>
      <c r="AK66" s="32">
        <f>+GenRev!Q66-GenExp!AC66-AE66+GenRev!S66+AG66+AI66-'Gen Fd BS'!U66</f>
        <v>0</v>
      </c>
    </row>
    <row r="67" spans="1:37" s="32" customFormat="1" ht="12.75" customHeight="1" hidden="1">
      <c r="A67" s="23" t="s">
        <v>60</v>
      </c>
      <c r="B67" s="23"/>
      <c r="C67" s="24"/>
      <c r="D67" s="30"/>
      <c r="E67" s="24"/>
      <c r="F67" s="30"/>
      <c r="G67" s="24"/>
      <c r="H67" s="30"/>
      <c r="I67" s="24"/>
      <c r="J67" s="30"/>
      <c r="K67" s="24"/>
      <c r="L67" s="30"/>
      <c r="M67" s="24"/>
      <c r="N67" s="30"/>
      <c r="O67" s="24"/>
      <c r="P67" s="30"/>
      <c r="Q67" s="24"/>
      <c r="R67" s="30"/>
      <c r="S67" s="24"/>
      <c r="T67" s="40"/>
      <c r="U67" s="24"/>
      <c r="V67" s="30"/>
      <c r="W67" s="24"/>
      <c r="X67" s="30"/>
      <c r="Y67" s="24"/>
      <c r="Z67" s="30"/>
      <c r="AA67" s="24"/>
      <c r="AB67" s="30"/>
      <c r="AC67" s="40">
        <f t="shared" si="0"/>
        <v>0</v>
      </c>
      <c r="AD67" s="41"/>
      <c r="AE67" s="24"/>
      <c r="AG67" s="24"/>
      <c r="AI67" s="24"/>
      <c r="AK67" s="32">
        <f>+GenRev!Q67-GenExp!AC67-AE67+GenRev!S67+AG67+AI67-'Gen Fd BS'!U67</f>
        <v>0</v>
      </c>
    </row>
    <row r="68" spans="1:37" s="32" customFormat="1" ht="12.75" customHeight="1">
      <c r="A68" s="23" t="s">
        <v>97</v>
      </c>
      <c r="B68" s="23"/>
      <c r="C68" s="24">
        <v>2962218</v>
      </c>
      <c r="D68" s="30"/>
      <c r="E68" s="24">
        <v>1101253</v>
      </c>
      <c r="F68" s="30"/>
      <c r="G68" s="24">
        <v>1932864</v>
      </c>
      <c r="H68" s="30"/>
      <c r="I68" s="24">
        <v>0</v>
      </c>
      <c r="J68" s="30"/>
      <c r="K68" s="24">
        <v>70798</v>
      </c>
      <c r="L68" s="30"/>
      <c r="M68" s="24">
        <v>467055</v>
      </c>
      <c r="N68" s="30"/>
      <c r="O68" s="24">
        <v>0</v>
      </c>
      <c r="P68" s="30"/>
      <c r="Q68" s="24">
        <v>0</v>
      </c>
      <c r="R68" s="30"/>
      <c r="S68" s="24">
        <v>75353</v>
      </c>
      <c r="T68" s="40"/>
      <c r="U68" s="24">
        <v>0</v>
      </c>
      <c r="V68" s="30"/>
      <c r="W68" s="24">
        <v>339423</v>
      </c>
      <c r="X68" s="30"/>
      <c r="Y68" s="24">
        <v>8443</v>
      </c>
      <c r="Z68" s="30"/>
      <c r="AA68" s="24">
        <v>701</v>
      </c>
      <c r="AB68" s="30"/>
      <c r="AC68" s="40">
        <f t="shared" si="0"/>
        <v>6958108</v>
      </c>
      <c r="AD68" s="41"/>
      <c r="AE68" s="24">
        <v>432684</v>
      </c>
      <c r="AG68" s="24">
        <v>1753762</v>
      </c>
      <c r="AI68" s="24"/>
      <c r="AK68" s="32">
        <f>+GenRev!Q68-GenExp!AC68-AE68+GenRev!S68+AG68+AI68-'Gen Fd BS'!U68</f>
        <v>0</v>
      </c>
    </row>
    <row r="69" spans="1:37" s="32" customFormat="1" ht="12.75" customHeight="1">
      <c r="A69" s="23" t="s">
        <v>61</v>
      </c>
      <c r="B69" s="23"/>
      <c r="C69" s="24">
        <v>8210317</v>
      </c>
      <c r="D69" s="30"/>
      <c r="E69" s="24">
        <v>6325553</v>
      </c>
      <c r="F69" s="30"/>
      <c r="G69" s="24">
        <v>8391391</v>
      </c>
      <c r="H69" s="30"/>
      <c r="I69" s="24">
        <v>189412</v>
      </c>
      <c r="J69" s="30"/>
      <c r="K69" s="24">
        <v>440211</v>
      </c>
      <c r="L69" s="30"/>
      <c r="M69" s="24">
        <v>737165</v>
      </c>
      <c r="N69" s="30"/>
      <c r="O69" s="24">
        <v>0</v>
      </c>
      <c r="P69" s="30"/>
      <c r="Q69" s="24">
        <v>0</v>
      </c>
      <c r="R69" s="30"/>
      <c r="S69" s="24">
        <v>0</v>
      </c>
      <c r="T69" s="40"/>
      <c r="U69" s="24">
        <v>112475</v>
      </c>
      <c r="V69" s="30"/>
      <c r="W69" s="24">
        <v>648808</v>
      </c>
      <c r="X69" s="30"/>
      <c r="Y69" s="24">
        <v>119385</v>
      </c>
      <c r="Z69" s="30"/>
      <c r="AA69" s="24">
        <v>8572</v>
      </c>
      <c r="AB69" s="30"/>
      <c r="AC69" s="40">
        <f t="shared" si="0"/>
        <v>25183289</v>
      </c>
      <c r="AD69" s="41"/>
      <c r="AE69" s="24">
        <v>4064275</v>
      </c>
      <c r="AG69" s="24">
        <v>7565717</v>
      </c>
      <c r="AI69" s="24"/>
      <c r="AK69" s="32">
        <f>+GenRev!Q69-GenExp!AC69-AE69+GenRev!S69+AG69+AI69-'Gen Fd BS'!U69</f>
        <v>0</v>
      </c>
    </row>
    <row r="70" spans="1:37" s="32" customFormat="1" ht="12.75" customHeight="1">
      <c r="A70" s="23" t="s">
        <v>62</v>
      </c>
      <c r="B70" s="23"/>
      <c r="C70" s="24">
        <v>1670214</v>
      </c>
      <c r="D70" s="30"/>
      <c r="E70" s="24">
        <v>421967</v>
      </c>
      <c r="F70" s="30"/>
      <c r="G70" s="24">
        <v>985084</v>
      </c>
      <c r="H70" s="30"/>
      <c r="I70" s="24">
        <v>0</v>
      </c>
      <c r="J70" s="30"/>
      <c r="K70" s="24">
        <v>18361</v>
      </c>
      <c r="L70" s="30"/>
      <c r="M70" s="24">
        <v>139318</v>
      </c>
      <c r="N70" s="30"/>
      <c r="O70" s="24">
        <v>0</v>
      </c>
      <c r="P70" s="30"/>
      <c r="Q70" s="24">
        <v>0</v>
      </c>
      <c r="R70" s="30"/>
      <c r="S70" s="24">
        <v>0</v>
      </c>
      <c r="T70" s="40"/>
      <c r="U70" s="24">
        <v>0</v>
      </c>
      <c r="V70" s="30"/>
      <c r="W70" s="24">
        <v>0</v>
      </c>
      <c r="X70" s="30"/>
      <c r="Y70" s="24">
        <v>0</v>
      </c>
      <c r="Z70" s="30"/>
      <c r="AA70" s="24">
        <v>0</v>
      </c>
      <c r="AB70" s="30"/>
      <c r="AC70" s="40">
        <f t="shared" si="0"/>
        <v>3234944</v>
      </c>
      <c r="AD70" s="41"/>
      <c r="AE70" s="24">
        <v>95780</v>
      </c>
      <c r="AG70" s="24">
        <v>1132672</v>
      </c>
      <c r="AI70" s="24"/>
      <c r="AK70" s="32">
        <f>+GenRev!Q70-GenExp!AC70-AE70+GenRev!S70+AG70+AI70-'Gen Fd BS'!U70</f>
        <v>0</v>
      </c>
    </row>
    <row r="71" spans="1:37" s="32" customFormat="1" ht="12.75" customHeight="1" hidden="1">
      <c r="A71" s="23" t="s">
        <v>63</v>
      </c>
      <c r="B71" s="23"/>
      <c r="C71" s="24"/>
      <c r="D71" s="30"/>
      <c r="E71" s="24"/>
      <c r="F71" s="30"/>
      <c r="G71" s="24"/>
      <c r="H71" s="30"/>
      <c r="I71" s="24"/>
      <c r="J71" s="30"/>
      <c r="K71" s="24"/>
      <c r="L71" s="30"/>
      <c r="M71" s="24"/>
      <c r="N71" s="30"/>
      <c r="O71" s="24"/>
      <c r="P71" s="30"/>
      <c r="Q71" s="24"/>
      <c r="R71" s="30"/>
      <c r="S71" s="24"/>
      <c r="T71" s="40"/>
      <c r="U71" s="24"/>
      <c r="V71" s="30"/>
      <c r="W71" s="24"/>
      <c r="X71" s="30"/>
      <c r="Y71" s="24"/>
      <c r="Z71" s="30"/>
      <c r="AA71" s="24"/>
      <c r="AB71" s="30"/>
      <c r="AC71" s="40">
        <f t="shared" si="0"/>
        <v>0</v>
      </c>
      <c r="AD71" s="41"/>
      <c r="AE71" s="24"/>
      <c r="AG71" s="24"/>
      <c r="AI71" s="24"/>
      <c r="AK71" s="32">
        <f>+GenRev!Q71-GenExp!AC71-AE71+GenRev!S71+AG71+AI71-'Gen Fd BS'!U71</f>
        <v>0</v>
      </c>
    </row>
    <row r="72" spans="1:37" s="32" customFormat="1" ht="12.75" customHeight="1" hidden="1">
      <c r="A72" s="23" t="s">
        <v>131</v>
      </c>
      <c r="B72" s="23"/>
      <c r="C72" s="24"/>
      <c r="D72" s="30"/>
      <c r="E72" s="24"/>
      <c r="F72" s="30"/>
      <c r="G72" s="24"/>
      <c r="H72" s="30"/>
      <c r="I72" s="24"/>
      <c r="J72" s="30"/>
      <c r="K72" s="24"/>
      <c r="L72" s="30"/>
      <c r="M72" s="24"/>
      <c r="N72" s="30"/>
      <c r="O72" s="24"/>
      <c r="P72" s="30"/>
      <c r="Q72" s="24"/>
      <c r="R72" s="30"/>
      <c r="S72" s="24"/>
      <c r="T72" s="40"/>
      <c r="U72" s="24"/>
      <c r="V72" s="30"/>
      <c r="W72" s="24"/>
      <c r="X72" s="30"/>
      <c r="Y72" s="24"/>
      <c r="Z72" s="30"/>
      <c r="AA72" s="24"/>
      <c r="AB72" s="30"/>
      <c r="AC72" s="40">
        <f t="shared" si="0"/>
        <v>0</v>
      </c>
      <c r="AD72" s="41"/>
      <c r="AE72" s="24"/>
      <c r="AG72" s="24"/>
      <c r="AI72" s="24"/>
      <c r="AK72" s="32">
        <f>+GenRev!Q72-GenExp!AC72-AE72+GenRev!S72+AG72+AI72-'Gen Fd BS'!U72</f>
        <v>0</v>
      </c>
    </row>
    <row r="73" spans="1:37" s="32" customFormat="1" ht="12.75" customHeight="1" hidden="1">
      <c r="A73" s="23" t="s">
        <v>64</v>
      </c>
      <c r="B73" s="23"/>
      <c r="C73" s="24"/>
      <c r="D73" s="30"/>
      <c r="E73" s="24"/>
      <c r="F73" s="30"/>
      <c r="G73" s="24"/>
      <c r="H73" s="30"/>
      <c r="I73" s="24"/>
      <c r="J73" s="30"/>
      <c r="K73" s="24"/>
      <c r="L73" s="30"/>
      <c r="M73" s="24"/>
      <c r="N73" s="30"/>
      <c r="O73" s="24"/>
      <c r="P73" s="30"/>
      <c r="Q73" s="24"/>
      <c r="R73" s="30"/>
      <c r="S73" s="24"/>
      <c r="T73" s="40"/>
      <c r="U73" s="24"/>
      <c r="V73" s="30"/>
      <c r="W73" s="24"/>
      <c r="X73" s="30"/>
      <c r="Y73" s="24"/>
      <c r="Z73" s="30"/>
      <c r="AA73" s="24"/>
      <c r="AB73" s="30"/>
      <c r="AC73" s="40">
        <f t="shared" si="0"/>
        <v>0</v>
      </c>
      <c r="AD73" s="41"/>
      <c r="AE73" s="24"/>
      <c r="AG73" s="24"/>
      <c r="AI73" s="24"/>
      <c r="AK73" s="32">
        <f>+GenRev!Q73-GenExp!AC73-AE73+GenRev!S73+AG73+AI73-'Gen Fd BS'!U73</f>
        <v>0</v>
      </c>
    </row>
    <row r="74" spans="1:37" s="32" customFormat="1" ht="12.75" customHeight="1">
      <c r="A74" s="23" t="s">
        <v>65</v>
      </c>
      <c r="B74" s="23"/>
      <c r="C74" s="24">
        <v>4287349</v>
      </c>
      <c r="D74" s="30"/>
      <c r="E74" s="24">
        <v>1828491</v>
      </c>
      <c r="F74" s="30"/>
      <c r="G74" s="24">
        <v>6026833</v>
      </c>
      <c r="H74" s="30"/>
      <c r="I74" s="24">
        <v>116790</v>
      </c>
      <c r="J74" s="30"/>
      <c r="K74" s="24">
        <v>59593</v>
      </c>
      <c r="L74" s="30"/>
      <c r="M74" s="24">
        <v>748890</v>
      </c>
      <c r="N74" s="30"/>
      <c r="O74" s="24">
        <v>0</v>
      </c>
      <c r="P74" s="30"/>
      <c r="Q74" s="24">
        <v>316250</v>
      </c>
      <c r="R74" s="30"/>
      <c r="S74" s="24">
        <v>14520</v>
      </c>
      <c r="T74" s="40"/>
      <c r="U74" s="24">
        <v>0</v>
      </c>
      <c r="V74" s="30"/>
      <c r="W74" s="24">
        <v>0</v>
      </c>
      <c r="X74" s="30"/>
      <c r="Y74" s="24">
        <v>19744</v>
      </c>
      <c r="Z74" s="30"/>
      <c r="AA74" s="24">
        <v>4983</v>
      </c>
      <c r="AB74" s="30"/>
      <c r="AC74" s="40">
        <f t="shared" si="0"/>
        <v>13423443</v>
      </c>
      <c r="AD74" s="41"/>
      <c r="AE74" s="24">
        <v>210076</v>
      </c>
      <c r="AG74" s="24">
        <v>3140757</v>
      </c>
      <c r="AI74" s="24"/>
      <c r="AK74" s="32">
        <f>+GenRev!Q74-GenExp!AC74-AE74+GenRev!S74+AG74+AI74-'Gen Fd BS'!U74</f>
        <v>0</v>
      </c>
    </row>
    <row r="75" spans="1:37" s="32" customFormat="1" ht="12.75" customHeight="1">
      <c r="A75" s="23" t="s">
        <v>66</v>
      </c>
      <c r="B75" s="23"/>
      <c r="C75" s="24">
        <v>3063572</v>
      </c>
      <c r="D75" s="30"/>
      <c r="E75" s="24">
        <v>941088</v>
      </c>
      <c r="F75" s="30"/>
      <c r="G75" s="24">
        <v>2124029</v>
      </c>
      <c r="H75" s="30"/>
      <c r="I75" s="24">
        <v>125981</v>
      </c>
      <c r="J75" s="30"/>
      <c r="K75" s="24">
        <v>35421</v>
      </c>
      <c r="L75" s="30"/>
      <c r="M75" s="24">
        <v>301673</v>
      </c>
      <c r="N75" s="30"/>
      <c r="O75" s="24">
        <v>0</v>
      </c>
      <c r="P75" s="30"/>
      <c r="Q75" s="24">
        <v>256361</v>
      </c>
      <c r="R75" s="30"/>
      <c r="S75" s="24">
        <v>0</v>
      </c>
      <c r="T75" s="40"/>
      <c r="U75" s="24">
        <v>163296</v>
      </c>
      <c r="V75" s="30"/>
      <c r="W75" s="24">
        <v>0</v>
      </c>
      <c r="X75" s="30"/>
      <c r="Y75" s="24">
        <v>15180</v>
      </c>
      <c r="Z75" s="30"/>
      <c r="AA75" s="24">
        <v>2858</v>
      </c>
      <c r="AB75" s="30"/>
      <c r="AC75" s="40">
        <f t="shared" si="0"/>
        <v>7029459</v>
      </c>
      <c r="AD75" s="41"/>
      <c r="AE75" s="24">
        <v>421058</v>
      </c>
      <c r="AG75" s="24">
        <v>5229333</v>
      </c>
      <c r="AI75" s="24"/>
      <c r="AK75" s="32">
        <f>+GenRev!Q75-GenExp!AC75-AE75+GenRev!S75+AG75+AI75-'Gen Fd BS'!U75</f>
        <v>0</v>
      </c>
    </row>
    <row r="76" spans="1:37" s="32" customFormat="1" ht="12.75" customHeight="1">
      <c r="A76" s="23" t="s">
        <v>67</v>
      </c>
      <c r="B76" s="23"/>
      <c r="C76" s="24">
        <v>13242242</v>
      </c>
      <c r="D76" s="30"/>
      <c r="E76" s="24">
        <v>8747807</v>
      </c>
      <c r="F76" s="30"/>
      <c r="G76" s="24">
        <v>13327854</v>
      </c>
      <c r="H76" s="30"/>
      <c r="I76" s="24">
        <v>155165</v>
      </c>
      <c r="J76" s="30"/>
      <c r="K76" s="24">
        <v>0</v>
      </c>
      <c r="L76" s="30"/>
      <c r="M76" s="24">
        <v>633796</v>
      </c>
      <c r="N76" s="30"/>
      <c r="O76" s="24">
        <v>0</v>
      </c>
      <c r="P76" s="30"/>
      <c r="Q76" s="24">
        <v>0</v>
      </c>
      <c r="R76" s="30"/>
      <c r="S76" s="24">
        <v>0</v>
      </c>
      <c r="T76" s="40"/>
      <c r="U76" s="24">
        <v>0</v>
      </c>
      <c r="V76" s="30"/>
      <c r="W76" s="24">
        <v>0</v>
      </c>
      <c r="X76" s="30"/>
      <c r="Y76" s="24">
        <v>0</v>
      </c>
      <c r="Z76" s="30"/>
      <c r="AA76" s="24">
        <v>0</v>
      </c>
      <c r="AB76" s="30"/>
      <c r="AC76" s="40">
        <f t="shared" si="0"/>
        <v>36106864</v>
      </c>
      <c r="AD76" s="41"/>
      <c r="AE76" s="24">
        <v>261797</v>
      </c>
      <c r="AG76" s="24">
        <v>15280416</v>
      </c>
      <c r="AI76" s="24"/>
      <c r="AK76" s="32">
        <f>+GenRev!Q76-GenExp!AC76-AE76+GenRev!S76+AG76+AI76-'Gen Fd BS'!U76</f>
        <v>0</v>
      </c>
    </row>
    <row r="77" spans="1:37" s="32" customFormat="1" ht="12.75" customHeight="1">
      <c r="A77" s="23" t="s">
        <v>68</v>
      </c>
      <c r="B77" s="23"/>
      <c r="C77" s="24">
        <v>2976672</v>
      </c>
      <c r="D77" s="30"/>
      <c r="E77" s="24">
        <v>1497091</v>
      </c>
      <c r="F77" s="30"/>
      <c r="G77" s="24">
        <v>3687069</v>
      </c>
      <c r="H77" s="30"/>
      <c r="I77" s="24">
        <v>0</v>
      </c>
      <c r="J77" s="30"/>
      <c r="K77" s="24">
        <v>81423</v>
      </c>
      <c r="L77" s="30"/>
      <c r="M77" s="24">
        <v>311746</v>
      </c>
      <c r="N77" s="30"/>
      <c r="O77" s="24">
        <v>78824</v>
      </c>
      <c r="P77" s="30"/>
      <c r="Q77" s="24">
        <v>0</v>
      </c>
      <c r="R77" s="30"/>
      <c r="S77" s="24">
        <v>0</v>
      </c>
      <c r="T77" s="40"/>
      <c r="U77" s="24">
        <v>23200</v>
      </c>
      <c r="V77" s="30"/>
      <c r="W77" s="24">
        <v>37265</v>
      </c>
      <c r="X77" s="30"/>
      <c r="Y77" s="24">
        <v>0</v>
      </c>
      <c r="Z77" s="30"/>
      <c r="AA77" s="24">
        <v>2723</v>
      </c>
      <c r="AB77" s="30"/>
      <c r="AC77" s="40">
        <f aca="true" t="shared" si="1" ref="AC77:AC84">SUM(C77:AA77)</f>
        <v>8696013</v>
      </c>
      <c r="AD77" s="41"/>
      <c r="AE77" s="24">
        <f>526576+46400</f>
        <v>572976</v>
      </c>
      <c r="AG77" s="24">
        <v>3855209</v>
      </c>
      <c r="AI77" s="24"/>
      <c r="AK77" s="32">
        <f>+GenRev!Q77-GenExp!AC77-AE77+GenRev!S77+AG77+AI77-'Gen Fd BS'!U77</f>
        <v>0</v>
      </c>
    </row>
    <row r="78" spans="1:35" s="32" customFormat="1" ht="12.75" customHeight="1">
      <c r="A78" s="23"/>
      <c r="B78" s="23"/>
      <c r="C78" s="24"/>
      <c r="D78" s="30"/>
      <c r="E78" s="24"/>
      <c r="F78" s="30"/>
      <c r="G78" s="24"/>
      <c r="H78" s="30"/>
      <c r="I78" s="24"/>
      <c r="J78" s="30"/>
      <c r="K78" s="24"/>
      <c r="L78" s="30"/>
      <c r="M78" s="24"/>
      <c r="N78" s="30"/>
      <c r="O78" s="24"/>
      <c r="P78" s="30"/>
      <c r="Q78" s="24"/>
      <c r="R78" s="30"/>
      <c r="S78" s="24"/>
      <c r="T78" s="40"/>
      <c r="U78" s="24"/>
      <c r="V78" s="30"/>
      <c r="W78" s="24"/>
      <c r="X78" s="30"/>
      <c r="Y78" s="24"/>
      <c r="Z78" s="30"/>
      <c r="AA78" s="24"/>
      <c r="AB78" s="30"/>
      <c r="AC78" s="40"/>
      <c r="AD78" s="41"/>
      <c r="AE78" s="24"/>
      <c r="AG78" s="24"/>
      <c r="AI78" s="24"/>
    </row>
    <row r="79" spans="1:37" s="34" customFormat="1" ht="12.75" customHeight="1">
      <c r="A79" s="23"/>
      <c r="B79" s="23"/>
      <c r="C79" s="24"/>
      <c r="D79" s="30"/>
      <c r="E79" s="24"/>
      <c r="F79" s="30"/>
      <c r="G79" s="24"/>
      <c r="H79" s="30"/>
      <c r="I79" s="24"/>
      <c r="J79" s="30"/>
      <c r="K79" s="24"/>
      <c r="L79" s="30"/>
      <c r="M79" s="24"/>
      <c r="N79" s="30"/>
      <c r="O79" s="24"/>
      <c r="P79" s="30"/>
      <c r="Q79" s="24"/>
      <c r="R79" s="30"/>
      <c r="S79" s="24"/>
      <c r="T79" s="40"/>
      <c r="U79" s="24"/>
      <c r="V79" s="30"/>
      <c r="W79" s="24"/>
      <c r="X79" s="30"/>
      <c r="Y79" s="24"/>
      <c r="Z79" s="30"/>
      <c r="AA79" s="24"/>
      <c r="AB79" s="30"/>
      <c r="AC79" s="40" t="s">
        <v>247</v>
      </c>
      <c r="AD79" s="41"/>
      <c r="AE79" s="24"/>
      <c r="AG79" s="24"/>
      <c r="AI79" s="24"/>
      <c r="AK79" s="32"/>
    </row>
    <row r="80" spans="1:37" s="32" customFormat="1" ht="12.75" customHeight="1" hidden="1">
      <c r="A80" s="23" t="s">
        <v>175</v>
      </c>
      <c r="B80" s="23"/>
      <c r="C80" s="24">
        <v>0</v>
      </c>
      <c r="D80" s="30"/>
      <c r="E80" s="24">
        <v>0</v>
      </c>
      <c r="F80" s="30"/>
      <c r="G80" s="24">
        <v>0</v>
      </c>
      <c r="H80" s="30"/>
      <c r="I80" s="24">
        <v>0</v>
      </c>
      <c r="J80" s="30"/>
      <c r="K80" s="24">
        <v>0</v>
      </c>
      <c r="L80" s="30"/>
      <c r="M80" s="24">
        <v>0</v>
      </c>
      <c r="N80" s="30"/>
      <c r="O80" s="24">
        <v>0</v>
      </c>
      <c r="P80" s="30"/>
      <c r="Q80" s="24">
        <v>0</v>
      </c>
      <c r="R80" s="30"/>
      <c r="S80" s="24">
        <v>0</v>
      </c>
      <c r="T80" s="40"/>
      <c r="U80" s="24">
        <v>0</v>
      </c>
      <c r="V80" s="30"/>
      <c r="W80" s="24">
        <v>0</v>
      </c>
      <c r="X80" s="30"/>
      <c r="Y80" s="24">
        <v>0</v>
      </c>
      <c r="Z80" s="30"/>
      <c r="AA80" s="24">
        <v>0</v>
      </c>
      <c r="AB80" s="30"/>
      <c r="AC80" s="40">
        <f t="shared" si="1"/>
        <v>0</v>
      </c>
      <c r="AD80" s="41"/>
      <c r="AE80" s="24">
        <v>0</v>
      </c>
      <c r="AG80" s="24">
        <v>0</v>
      </c>
      <c r="AI80" s="24"/>
      <c r="AK80" s="32">
        <f>+GenRev!Q76-GenExp!AC80-AE80+GenRev!S76+AG80+AI80-'Gen Fd BS'!U76</f>
        <v>21088245</v>
      </c>
    </row>
    <row r="81" spans="1:37" s="32" customFormat="1" ht="12.75" customHeight="1">
      <c r="A81" s="23" t="s">
        <v>177</v>
      </c>
      <c r="B81" s="23"/>
      <c r="C81" s="177">
        <v>6434934</v>
      </c>
      <c r="D81" s="179"/>
      <c r="E81" s="177">
        <v>5433070</v>
      </c>
      <c r="F81" s="179"/>
      <c r="G81" s="177">
        <v>11708296</v>
      </c>
      <c r="H81" s="179"/>
      <c r="I81" s="177">
        <v>532519</v>
      </c>
      <c r="J81" s="179"/>
      <c r="K81" s="177">
        <v>183433</v>
      </c>
      <c r="L81" s="179"/>
      <c r="M81" s="177">
        <v>816217</v>
      </c>
      <c r="N81" s="179"/>
      <c r="O81" s="177">
        <v>0</v>
      </c>
      <c r="P81" s="179"/>
      <c r="Q81" s="177">
        <v>172177</v>
      </c>
      <c r="R81" s="179"/>
      <c r="S81" s="177">
        <v>0</v>
      </c>
      <c r="T81" s="179"/>
      <c r="U81" s="177">
        <v>71980</v>
      </c>
      <c r="V81" s="179"/>
      <c r="W81" s="177">
        <v>1159650</v>
      </c>
      <c r="X81" s="179"/>
      <c r="Y81" s="177">
        <v>0</v>
      </c>
      <c r="Z81" s="179"/>
      <c r="AA81" s="177">
        <v>0</v>
      </c>
      <c r="AB81" s="179"/>
      <c r="AC81" s="179">
        <f t="shared" si="1"/>
        <v>26512276</v>
      </c>
      <c r="AD81" s="181"/>
      <c r="AE81" s="177">
        <v>3568924</v>
      </c>
      <c r="AF81" s="177"/>
      <c r="AG81" s="177">
        <v>423127</v>
      </c>
      <c r="AH81" s="44"/>
      <c r="AI81" s="24"/>
      <c r="AJ81" s="44"/>
      <c r="AK81" s="32">
        <f>+GenRev!Q81-GenExp!AC81-AE81+GenRev!S81+AG81+AI81-'Gen Fd BS'!U81</f>
        <v>0</v>
      </c>
    </row>
    <row r="82" spans="1:37" s="32" customFormat="1" ht="12.75" customHeight="1">
      <c r="A82" s="23" t="s">
        <v>69</v>
      </c>
      <c r="B82" s="23"/>
      <c r="C82" s="24">
        <v>5422178</v>
      </c>
      <c r="D82" s="30"/>
      <c r="E82" s="24">
        <v>3346682</v>
      </c>
      <c r="F82" s="30"/>
      <c r="G82" s="24">
        <v>8876922</v>
      </c>
      <c r="H82" s="30"/>
      <c r="I82" s="24">
        <v>404103</v>
      </c>
      <c r="J82" s="30"/>
      <c r="K82" s="24">
        <v>697433</v>
      </c>
      <c r="L82" s="30"/>
      <c r="M82" s="24">
        <v>594240</v>
      </c>
      <c r="N82" s="30"/>
      <c r="O82" s="24">
        <v>304147</v>
      </c>
      <c r="P82" s="30"/>
      <c r="Q82" s="24">
        <v>0</v>
      </c>
      <c r="R82" s="30"/>
      <c r="S82" s="24">
        <v>0</v>
      </c>
      <c r="T82" s="40"/>
      <c r="U82" s="24">
        <v>0</v>
      </c>
      <c r="V82" s="30"/>
      <c r="W82" s="24">
        <v>0</v>
      </c>
      <c r="X82" s="30"/>
      <c r="Y82" s="24">
        <v>61692</v>
      </c>
      <c r="Z82" s="30"/>
      <c r="AA82" s="24">
        <v>8585</v>
      </c>
      <c r="AB82" s="30"/>
      <c r="AC82" s="40">
        <f t="shared" si="1"/>
        <v>19715982</v>
      </c>
      <c r="AD82" s="41"/>
      <c r="AE82" s="24">
        <v>1751279</v>
      </c>
      <c r="AG82" s="24">
        <v>6333892</v>
      </c>
      <c r="AI82" s="24"/>
      <c r="AK82" s="32">
        <f>+GenRev!Q82-GenExp!AC82-AE82+GenRev!S82+AG82+AI82-'Gen Fd BS'!U82</f>
        <v>0</v>
      </c>
    </row>
    <row r="83" spans="1:37" s="32" customFormat="1" ht="12.75" customHeight="1">
      <c r="A83" s="23" t="s">
        <v>98</v>
      </c>
      <c r="B83" s="23"/>
      <c r="C83" s="24">
        <v>7650675</v>
      </c>
      <c r="D83" s="30"/>
      <c r="E83" s="24">
        <v>2366943</v>
      </c>
      <c r="F83" s="30"/>
      <c r="G83" s="24">
        <v>6075930</v>
      </c>
      <c r="H83" s="30"/>
      <c r="I83" s="24">
        <v>35963</v>
      </c>
      <c r="J83" s="30"/>
      <c r="K83" s="24">
        <v>128680</v>
      </c>
      <c r="L83" s="30"/>
      <c r="M83" s="24">
        <v>685511</v>
      </c>
      <c r="N83" s="30"/>
      <c r="O83" s="24">
        <v>0</v>
      </c>
      <c r="P83" s="30"/>
      <c r="Q83" s="24">
        <v>0</v>
      </c>
      <c r="R83" s="30"/>
      <c r="S83" s="24">
        <v>0</v>
      </c>
      <c r="T83" s="40"/>
      <c r="U83" s="24">
        <v>0</v>
      </c>
      <c r="V83" s="30"/>
      <c r="W83" s="24">
        <v>164818</v>
      </c>
      <c r="X83" s="30"/>
      <c r="Y83" s="24">
        <v>10968</v>
      </c>
      <c r="Z83" s="30"/>
      <c r="AA83" s="24">
        <v>1815</v>
      </c>
      <c r="AB83" s="30"/>
      <c r="AC83" s="40">
        <f t="shared" si="1"/>
        <v>17121303</v>
      </c>
      <c r="AD83" s="41"/>
      <c r="AE83" s="24">
        <v>1658255</v>
      </c>
      <c r="AG83" s="24">
        <v>5271073</v>
      </c>
      <c r="AI83" s="24"/>
      <c r="AK83" s="32">
        <f>+GenRev!Q83-GenExp!AC83-AE83+GenRev!S83+AG83+AI83-'Gen Fd BS'!U83</f>
        <v>0</v>
      </c>
    </row>
    <row r="84" spans="1:37" s="32" customFormat="1" ht="12.75" customHeight="1">
      <c r="A84" s="23" t="s">
        <v>70</v>
      </c>
      <c r="B84" s="23"/>
      <c r="C84" s="24">
        <v>6830417</v>
      </c>
      <c r="D84" s="30"/>
      <c r="E84" s="24">
        <v>2088475</v>
      </c>
      <c r="F84" s="30"/>
      <c r="G84" s="24">
        <f>3654234+502164</f>
        <v>4156398</v>
      </c>
      <c r="H84" s="30"/>
      <c r="I84" s="24">
        <v>0</v>
      </c>
      <c r="J84" s="30"/>
      <c r="K84" s="24">
        <v>341560</v>
      </c>
      <c r="L84" s="30"/>
      <c r="M84" s="24">
        <v>390457</v>
      </c>
      <c r="N84" s="30"/>
      <c r="O84" s="24">
        <v>68678</v>
      </c>
      <c r="P84" s="30"/>
      <c r="Q84" s="24">
        <v>165067</v>
      </c>
      <c r="R84" s="30"/>
      <c r="S84" s="24">
        <v>0</v>
      </c>
      <c r="T84" s="40"/>
      <c r="U84" s="24">
        <v>180805</v>
      </c>
      <c r="V84" s="30"/>
      <c r="W84" s="24">
        <v>0</v>
      </c>
      <c r="X84" s="30"/>
      <c r="Y84" s="24">
        <v>210290</v>
      </c>
      <c r="Z84" s="30"/>
      <c r="AA84" s="24">
        <v>38594</v>
      </c>
      <c r="AB84" s="30"/>
      <c r="AC84" s="40">
        <f t="shared" si="1"/>
        <v>14470741</v>
      </c>
      <c r="AD84" s="41"/>
      <c r="AE84" s="24">
        <v>1372073</v>
      </c>
      <c r="AG84" s="24">
        <v>99331</v>
      </c>
      <c r="AI84" s="24"/>
      <c r="AK84" s="32">
        <f>+GenRev!Q84-GenExp!AC84-AE84+GenRev!S84+AG84+AI84-'Gen Fd BS'!U84</f>
        <v>0</v>
      </c>
    </row>
    <row r="85" spans="1:37" s="32" customFormat="1" ht="12.75" customHeight="1">
      <c r="A85" s="23" t="s">
        <v>71</v>
      </c>
      <c r="B85" s="23"/>
      <c r="C85" s="24">
        <v>5305984</v>
      </c>
      <c r="D85" s="30"/>
      <c r="E85" s="24">
        <v>2298923</v>
      </c>
      <c r="F85" s="30"/>
      <c r="G85" s="24">
        <v>5460243</v>
      </c>
      <c r="H85" s="30"/>
      <c r="I85" s="24">
        <v>38077</v>
      </c>
      <c r="J85" s="30"/>
      <c r="K85" s="24">
        <v>102540</v>
      </c>
      <c r="L85" s="30"/>
      <c r="M85" s="24">
        <v>360784</v>
      </c>
      <c r="N85" s="30"/>
      <c r="O85" s="24">
        <v>0</v>
      </c>
      <c r="P85" s="30"/>
      <c r="Q85" s="24">
        <v>168507</v>
      </c>
      <c r="R85" s="30"/>
      <c r="S85" s="24">
        <v>0</v>
      </c>
      <c r="T85" s="40"/>
      <c r="U85" s="24">
        <v>115819</v>
      </c>
      <c r="V85" s="30"/>
      <c r="W85" s="24">
        <v>0</v>
      </c>
      <c r="X85" s="30"/>
      <c r="Y85" s="24">
        <v>4396</v>
      </c>
      <c r="Z85" s="30"/>
      <c r="AA85" s="24">
        <v>1472</v>
      </c>
      <c r="AB85" s="30"/>
      <c r="AC85" s="40">
        <f aca="true" t="shared" si="2" ref="AC85:AC98">SUM(C85:AA85)</f>
        <v>13856745</v>
      </c>
      <c r="AD85" s="81"/>
      <c r="AE85" s="24">
        <v>2448524</v>
      </c>
      <c r="AF85" s="24"/>
      <c r="AG85" s="24">
        <v>4509315</v>
      </c>
      <c r="AH85" s="24"/>
      <c r="AI85" s="24"/>
      <c r="AJ85" s="24"/>
      <c r="AK85" s="32">
        <f>+GenRev!Q85-GenExp!AC85-AE85+GenRev!S85+AG85+AI85-'Gen Fd BS'!U85</f>
        <v>0</v>
      </c>
    </row>
    <row r="86" spans="1:37" s="32" customFormat="1" ht="12.75" customHeight="1">
      <c r="A86" s="23" t="s">
        <v>72</v>
      </c>
      <c r="B86" s="23"/>
      <c r="C86" s="24">
        <v>3750106</v>
      </c>
      <c r="D86" s="30"/>
      <c r="E86" s="24">
        <v>1956960</v>
      </c>
      <c r="F86" s="30"/>
      <c r="G86" s="24">
        <v>4040299</v>
      </c>
      <c r="H86" s="30"/>
      <c r="I86" s="24">
        <v>682669</v>
      </c>
      <c r="J86" s="30"/>
      <c r="K86" s="24">
        <v>104175</v>
      </c>
      <c r="L86" s="30"/>
      <c r="M86" s="24">
        <v>609306</v>
      </c>
      <c r="N86" s="30"/>
      <c r="O86" s="24">
        <v>0</v>
      </c>
      <c r="P86" s="30"/>
      <c r="Q86" s="24">
        <v>0</v>
      </c>
      <c r="R86" s="30"/>
      <c r="S86" s="24">
        <v>0</v>
      </c>
      <c r="T86" s="40"/>
      <c r="U86" s="24">
        <v>0</v>
      </c>
      <c r="V86" s="30"/>
      <c r="W86" s="24">
        <v>238219</v>
      </c>
      <c r="X86" s="30"/>
      <c r="Y86" s="24">
        <v>6338</v>
      </c>
      <c r="Z86" s="30"/>
      <c r="AA86" s="24">
        <v>640</v>
      </c>
      <c r="AB86" s="30"/>
      <c r="AC86" s="40">
        <f t="shared" si="2"/>
        <v>11388712</v>
      </c>
      <c r="AD86" s="41"/>
      <c r="AE86" s="24">
        <v>164765</v>
      </c>
      <c r="AG86" s="24">
        <v>1221293</v>
      </c>
      <c r="AI86" s="24"/>
      <c r="AK86" s="32">
        <f>+GenRev!Q86-GenExp!AC86-AE86+GenRev!S86+AG86+AI86-'Gen Fd BS'!U86</f>
        <v>0</v>
      </c>
    </row>
    <row r="87" spans="1:37" s="32" customFormat="1" ht="12.75" customHeight="1">
      <c r="A87" s="23" t="s">
        <v>73</v>
      </c>
      <c r="B87" s="23"/>
      <c r="C87" s="24">
        <v>21115687</v>
      </c>
      <c r="D87" s="30"/>
      <c r="E87" s="24">
        <v>12575966</v>
      </c>
      <c r="F87" s="30"/>
      <c r="G87" s="24">
        <v>17468354</v>
      </c>
      <c r="H87" s="30"/>
      <c r="I87" s="24">
        <v>90572</v>
      </c>
      <c r="J87" s="30"/>
      <c r="K87" s="24">
        <v>0</v>
      </c>
      <c r="L87" s="30"/>
      <c r="M87" s="24">
        <v>1268123</v>
      </c>
      <c r="N87" s="30"/>
      <c r="O87" s="24">
        <v>0</v>
      </c>
      <c r="P87" s="30"/>
      <c r="Q87" s="24">
        <v>0</v>
      </c>
      <c r="R87" s="30"/>
      <c r="S87" s="24">
        <v>61740</v>
      </c>
      <c r="T87" s="40"/>
      <c r="U87" s="24">
        <v>0</v>
      </c>
      <c r="V87" s="30"/>
      <c r="W87" s="24">
        <v>0</v>
      </c>
      <c r="X87" s="30"/>
      <c r="Y87" s="24">
        <v>3690</v>
      </c>
      <c r="Z87" s="30"/>
      <c r="AA87" s="24">
        <v>978</v>
      </c>
      <c r="AB87" s="30"/>
      <c r="AC87" s="40">
        <f t="shared" si="2"/>
        <v>52585110</v>
      </c>
      <c r="AD87" s="41"/>
      <c r="AE87" s="24">
        <v>0</v>
      </c>
      <c r="AG87" s="24">
        <v>19089354</v>
      </c>
      <c r="AI87" s="24"/>
      <c r="AK87" s="32">
        <f>+GenRev!Q87-GenExp!AC87-AE87+GenRev!S87+AG87+AI87-'Gen Fd BS'!U87</f>
        <v>0</v>
      </c>
    </row>
    <row r="88" spans="1:37" s="32" customFormat="1" ht="12.75" customHeight="1">
      <c r="A88" s="23" t="s">
        <v>74</v>
      </c>
      <c r="B88" s="23"/>
      <c r="C88" s="24">
        <v>22544298</v>
      </c>
      <c r="D88" s="30"/>
      <c r="E88" s="24">
        <v>24254415</v>
      </c>
      <c r="F88" s="30"/>
      <c r="G88" s="24">
        <v>55043410</v>
      </c>
      <c r="H88" s="30"/>
      <c r="I88" s="24">
        <v>181601</v>
      </c>
      <c r="J88" s="30"/>
      <c r="K88" s="24">
        <v>1282627</v>
      </c>
      <c r="L88" s="30"/>
      <c r="M88" s="24">
        <v>2484863</v>
      </c>
      <c r="N88" s="30"/>
      <c r="O88" s="24">
        <v>0</v>
      </c>
      <c r="P88" s="30"/>
      <c r="Q88" s="24">
        <v>0</v>
      </c>
      <c r="R88" s="30"/>
      <c r="S88" s="24">
        <v>990771</v>
      </c>
      <c r="T88" s="40"/>
      <c r="U88" s="24">
        <v>0</v>
      </c>
      <c r="V88" s="30"/>
      <c r="W88" s="24">
        <v>365848</v>
      </c>
      <c r="X88" s="30"/>
      <c r="Y88" s="24">
        <v>0</v>
      </c>
      <c r="Z88" s="30"/>
      <c r="AA88" s="24">
        <v>0</v>
      </c>
      <c r="AB88" s="30"/>
      <c r="AC88" s="40">
        <f t="shared" si="2"/>
        <v>107147833</v>
      </c>
      <c r="AD88" s="41"/>
      <c r="AE88" s="24">
        <v>4411571</v>
      </c>
      <c r="AG88" s="24">
        <v>49415186</v>
      </c>
      <c r="AI88" s="24"/>
      <c r="AK88" s="32">
        <f>+GenRev!Q88-GenExp!AC88-AE88+GenRev!S88+AG88+AI88-'Gen Fd BS'!U88</f>
        <v>0</v>
      </c>
    </row>
    <row r="89" spans="1:37" s="32" customFormat="1" ht="12.75" customHeight="1">
      <c r="A89" s="23" t="s">
        <v>75</v>
      </c>
      <c r="B89" s="23"/>
      <c r="C89" s="24">
        <v>16382722</v>
      </c>
      <c r="D89" s="30"/>
      <c r="E89" s="24">
        <v>11243148</v>
      </c>
      <c r="F89" s="30"/>
      <c r="G89" s="24">
        <v>51182698</v>
      </c>
      <c r="H89" s="30"/>
      <c r="I89" s="24">
        <v>963190</v>
      </c>
      <c r="J89" s="30"/>
      <c r="K89" s="24">
        <v>0</v>
      </c>
      <c r="L89" s="30"/>
      <c r="M89" s="24">
        <v>0</v>
      </c>
      <c r="N89" s="30"/>
      <c r="O89" s="24">
        <v>0</v>
      </c>
      <c r="P89" s="30"/>
      <c r="Q89" s="24">
        <v>0</v>
      </c>
      <c r="R89" s="30"/>
      <c r="S89" s="24">
        <v>0</v>
      </c>
      <c r="T89" s="40"/>
      <c r="U89" s="24">
        <v>0</v>
      </c>
      <c r="V89" s="30"/>
      <c r="W89" s="24">
        <v>0</v>
      </c>
      <c r="X89" s="30"/>
      <c r="Y89" s="24">
        <v>35524</v>
      </c>
      <c r="Z89" s="30"/>
      <c r="AA89" s="24">
        <v>5104</v>
      </c>
      <c r="AB89" s="30"/>
      <c r="AC89" s="40">
        <f t="shared" si="2"/>
        <v>79812386</v>
      </c>
      <c r="AD89" s="41"/>
      <c r="AE89" s="24">
        <v>2463826</v>
      </c>
      <c r="AG89" s="24">
        <v>10088661</v>
      </c>
      <c r="AI89" s="24"/>
      <c r="AK89" s="32">
        <f>+GenRev!Q89-GenExp!AC89-AE89+GenRev!S89+AG89+AI89-'Gen Fd BS'!U89</f>
        <v>-45000</v>
      </c>
    </row>
    <row r="90" spans="1:37" s="32" customFormat="1" ht="12.75" customHeight="1">
      <c r="A90" s="23" t="s">
        <v>76</v>
      </c>
      <c r="B90" s="23"/>
      <c r="C90" s="24">
        <v>6046442</v>
      </c>
      <c r="D90" s="30"/>
      <c r="E90" s="24">
        <v>3884891</v>
      </c>
      <c r="F90" s="30"/>
      <c r="G90" s="24">
        <v>6728751</v>
      </c>
      <c r="H90" s="30"/>
      <c r="I90" s="24">
        <v>325725</v>
      </c>
      <c r="J90" s="30"/>
      <c r="K90" s="24">
        <v>189204</v>
      </c>
      <c r="L90" s="30"/>
      <c r="M90" s="24">
        <v>671844</v>
      </c>
      <c r="N90" s="30"/>
      <c r="O90" s="24">
        <v>0</v>
      </c>
      <c r="P90" s="30"/>
      <c r="Q90" s="24">
        <v>362076</v>
      </c>
      <c r="R90" s="30"/>
      <c r="S90" s="24">
        <v>0</v>
      </c>
      <c r="T90" s="40"/>
      <c r="U90" s="24">
        <v>0</v>
      </c>
      <c r="V90" s="30"/>
      <c r="W90" s="24">
        <v>1154644</v>
      </c>
      <c r="X90" s="30"/>
      <c r="Y90" s="24">
        <v>3171</v>
      </c>
      <c r="Z90" s="30"/>
      <c r="AA90" s="24">
        <v>729</v>
      </c>
      <c r="AB90" s="30"/>
      <c r="AC90" s="40">
        <f t="shared" si="2"/>
        <v>19367477</v>
      </c>
      <c r="AD90" s="41"/>
      <c r="AE90" s="24">
        <v>2649748</v>
      </c>
      <c r="AG90" s="24">
        <v>14681556</v>
      </c>
      <c r="AI90" s="24"/>
      <c r="AK90" s="32">
        <f>+GenRev!Q90-GenExp!AC90-AE90+GenRev!S90+AG90+AI90-'Gen Fd BS'!U90</f>
        <v>0</v>
      </c>
    </row>
    <row r="91" spans="1:37" s="24" customFormat="1" ht="12.75" customHeight="1">
      <c r="A91" s="17" t="s">
        <v>77</v>
      </c>
      <c r="B91" s="17"/>
      <c r="C91" s="24">
        <v>7401197</v>
      </c>
      <c r="D91" s="30"/>
      <c r="E91" s="24">
        <v>2552308</v>
      </c>
      <c r="F91" s="30"/>
      <c r="G91" s="24">
        <v>4976210</v>
      </c>
      <c r="H91" s="30"/>
      <c r="I91" s="24">
        <v>126115</v>
      </c>
      <c r="J91" s="30"/>
      <c r="K91" s="24">
        <v>335984</v>
      </c>
      <c r="L91" s="30"/>
      <c r="M91" s="24">
        <v>1552886</v>
      </c>
      <c r="N91" s="30"/>
      <c r="O91" s="24">
        <v>146534</v>
      </c>
      <c r="P91" s="30"/>
      <c r="Q91" s="24">
        <v>0</v>
      </c>
      <c r="R91" s="30"/>
      <c r="S91" s="24">
        <v>0</v>
      </c>
      <c r="T91" s="40"/>
      <c r="U91" s="24">
        <v>0</v>
      </c>
      <c r="V91" s="30"/>
      <c r="W91" s="24">
        <v>602051</v>
      </c>
      <c r="X91" s="30"/>
      <c r="Y91" s="24">
        <v>0</v>
      </c>
      <c r="Z91" s="30"/>
      <c r="AA91" s="24">
        <v>0</v>
      </c>
      <c r="AB91" s="30"/>
      <c r="AC91" s="40">
        <f t="shared" si="2"/>
        <v>17693285</v>
      </c>
      <c r="AD91" s="41"/>
      <c r="AE91" s="24">
        <v>1303923</v>
      </c>
      <c r="AG91" s="24">
        <v>6928855</v>
      </c>
      <c r="AI91" s="24">
        <v>1481</v>
      </c>
      <c r="AK91" s="32">
        <f>+GenRev!Q91-GenExp!AC91-AE91+GenRev!S91+AG91+AI91-'Gen Fd BS'!U91</f>
        <v>0</v>
      </c>
    </row>
    <row r="92" spans="1:37" s="32" customFormat="1" ht="12.75" customHeight="1">
      <c r="A92" s="23" t="s">
        <v>78</v>
      </c>
      <c r="B92" s="23"/>
      <c r="C92" s="24">
        <v>3271030</v>
      </c>
      <c r="D92" s="30"/>
      <c r="E92" s="24">
        <v>1176462</v>
      </c>
      <c r="F92" s="30"/>
      <c r="G92" s="24">
        <v>2633119</v>
      </c>
      <c r="H92" s="30"/>
      <c r="I92" s="24">
        <v>33069</v>
      </c>
      <c r="J92" s="30"/>
      <c r="K92" s="24">
        <v>52081</v>
      </c>
      <c r="L92" s="30"/>
      <c r="M92" s="24">
        <v>249597</v>
      </c>
      <c r="N92" s="30"/>
      <c r="O92" s="24">
        <v>30500</v>
      </c>
      <c r="P92" s="30"/>
      <c r="Q92" s="24">
        <v>4711</v>
      </c>
      <c r="R92" s="30"/>
      <c r="S92" s="24">
        <v>0</v>
      </c>
      <c r="T92" s="40"/>
      <c r="U92" s="24">
        <v>40968</v>
      </c>
      <c r="V92" s="30"/>
      <c r="W92" s="24">
        <v>80347</v>
      </c>
      <c r="X92" s="30"/>
      <c r="Y92" s="24">
        <v>0</v>
      </c>
      <c r="Z92" s="30"/>
      <c r="AA92" s="24">
        <v>0</v>
      </c>
      <c r="AB92" s="30"/>
      <c r="AC92" s="40">
        <f t="shared" si="2"/>
        <v>7571884</v>
      </c>
      <c r="AD92" s="41"/>
      <c r="AE92" s="24">
        <v>204611</v>
      </c>
      <c r="AG92" s="24">
        <v>1054064</v>
      </c>
      <c r="AI92" s="24"/>
      <c r="AK92" s="32">
        <f>+GenRev!Q92-GenExp!AC92-AE92+GenRev!S92+AG92+AI92-'Gen Fd BS'!U92</f>
        <v>0</v>
      </c>
    </row>
    <row r="93" spans="1:37" s="32" customFormat="1" ht="12.75" customHeight="1" hidden="1">
      <c r="A93" s="23" t="s">
        <v>79</v>
      </c>
      <c r="B93" s="23"/>
      <c r="C93" s="24"/>
      <c r="D93" s="30"/>
      <c r="E93" s="24"/>
      <c r="F93" s="30"/>
      <c r="G93" s="24"/>
      <c r="H93" s="30"/>
      <c r="I93" s="24"/>
      <c r="J93" s="30"/>
      <c r="K93" s="24"/>
      <c r="L93" s="30"/>
      <c r="M93" s="24"/>
      <c r="N93" s="30"/>
      <c r="O93" s="24"/>
      <c r="P93" s="30"/>
      <c r="Q93" s="24"/>
      <c r="R93" s="30"/>
      <c r="S93" s="24"/>
      <c r="T93" s="40"/>
      <c r="U93" s="24"/>
      <c r="V93" s="30"/>
      <c r="W93" s="24"/>
      <c r="X93" s="30"/>
      <c r="Y93" s="24"/>
      <c r="Z93" s="30"/>
      <c r="AA93" s="24"/>
      <c r="AB93" s="30"/>
      <c r="AC93" s="40">
        <f t="shared" si="2"/>
        <v>0</v>
      </c>
      <c r="AD93" s="41"/>
      <c r="AE93" s="24"/>
      <c r="AG93" s="24"/>
      <c r="AI93" s="24"/>
      <c r="AK93" s="32">
        <f>+GenRev!Q93-GenExp!AC93-AE93+GenRev!S93+AG93+AI93-'Gen Fd BS'!U93</f>
        <v>0</v>
      </c>
    </row>
    <row r="94" spans="1:37" s="32" customFormat="1" ht="12.75" customHeight="1">
      <c r="A94" s="23" t="s">
        <v>80</v>
      </c>
      <c r="B94" s="23"/>
      <c r="C94" s="24">
        <v>18203559</v>
      </c>
      <c r="D94" s="30"/>
      <c r="E94" s="24">
        <v>8387060</v>
      </c>
      <c r="F94" s="30"/>
      <c r="G94" s="24">
        <v>25226243</v>
      </c>
      <c r="H94" s="30"/>
      <c r="I94" s="24">
        <v>0</v>
      </c>
      <c r="J94" s="30"/>
      <c r="K94" s="24">
        <v>0</v>
      </c>
      <c r="L94" s="30"/>
      <c r="M94" s="24">
        <v>1109702</v>
      </c>
      <c r="N94" s="30"/>
      <c r="O94" s="24">
        <v>180642</v>
      </c>
      <c r="P94" s="30"/>
      <c r="Q94" s="24">
        <v>0</v>
      </c>
      <c r="R94" s="30"/>
      <c r="S94" s="24">
        <v>0</v>
      </c>
      <c r="T94" s="40"/>
      <c r="U94" s="24">
        <v>0</v>
      </c>
      <c r="V94" s="30"/>
      <c r="W94" s="24">
        <v>0</v>
      </c>
      <c r="X94" s="30"/>
      <c r="Y94" s="24">
        <v>0</v>
      </c>
      <c r="Z94" s="30"/>
      <c r="AA94" s="24">
        <v>0</v>
      </c>
      <c r="AB94" s="30"/>
      <c r="AC94" s="40">
        <f t="shared" si="2"/>
        <v>53107206</v>
      </c>
      <c r="AD94" s="41"/>
      <c r="AE94" s="24">
        <v>7325876</v>
      </c>
      <c r="AG94" s="24">
        <v>28766773</v>
      </c>
      <c r="AI94" s="24">
        <v>17582</v>
      </c>
      <c r="AK94" s="32">
        <f>+GenRev!Q94-GenExp!AC94-AE94+GenRev!S94+AG94+AI94-'Gen Fd BS'!U94</f>
        <v>0</v>
      </c>
    </row>
    <row r="95" spans="1:37" s="32" customFormat="1" ht="12.75" customHeight="1">
      <c r="A95" s="23" t="s">
        <v>81</v>
      </c>
      <c r="B95" s="23"/>
      <c r="C95" s="24">
        <v>5313699</v>
      </c>
      <c r="D95" s="30"/>
      <c r="E95" s="24">
        <v>1895117</v>
      </c>
      <c r="F95" s="30"/>
      <c r="G95" s="24">
        <v>7120398</v>
      </c>
      <c r="H95" s="30"/>
      <c r="I95" s="24">
        <v>1106924</v>
      </c>
      <c r="J95" s="30"/>
      <c r="K95" s="24">
        <v>120912</v>
      </c>
      <c r="L95" s="30"/>
      <c r="M95" s="24">
        <v>476389</v>
      </c>
      <c r="N95" s="30"/>
      <c r="O95" s="24">
        <v>164381</v>
      </c>
      <c r="P95" s="30"/>
      <c r="Q95" s="24">
        <v>0</v>
      </c>
      <c r="R95" s="30"/>
      <c r="S95" s="24">
        <v>0</v>
      </c>
      <c r="T95" s="40"/>
      <c r="U95" s="24">
        <v>0</v>
      </c>
      <c r="V95" s="30"/>
      <c r="W95" s="24">
        <v>0</v>
      </c>
      <c r="X95" s="30"/>
      <c r="Y95" s="24">
        <v>102919</v>
      </c>
      <c r="Z95" s="30"/>
      <c r="AA95" s="24">
        <v>4232</v>
      </c>
      <c r="AB95" s="30"/>
      <c r="AC95" s="40">
        <f t="shared" si="2"/>
        <v>16304971</v>
      </c>
      <c r="AD95" s="41"/>
      <c r="AE95" s="24">
        <v>1150569</v>
      </c>
      <c r="AG95" s="24">
        <v>9369161</v>
      </c>
      <c r="AI95" s="24"/>
      <c r="AK95" s="32">
        <f>+GenRev!Q95-GenExp!AC95-AE95+GenRev!S95+AG95+AI95-'Gen Fd BS'!U95</f>
        <v>0</v>
      </c>
    </row>
    <row r="96" spans="1:37" s="32" customFormat="1" ht="12.75" customHeight="1">
      <c r="A96" s="23" t="s">
        <v>82</v>
      </c>
      <c r="B96" s="23"/>
      <c r="C96" s="24">
        <v>5818440</v>
      </c>
      <c r="D96" s="30"/>
      <c r="E96" s="24">
        <v>4785315</v>
      </c>
      <c r="F96" s="30"/>
      <c r="G96" s="24">
        <v>8133968</v>
      </c>
      <c r="H96" s="30"/>
      <c r="I96" s="24">
        <v>128109</v>
      </c>
      <c r="J96" s="30"/>
      <c r="K96" s="24">
        <v>296268</v>
      </c>
      <c r="L96" s="30"/>
      <c r="M96" s="24">
        <v>826301</v>
      </c>
      <c r="N96" s="30"/>
      <c r="O96" s="24">
        <v>522310</v>
      </c>
      <c r="P96" s="30"/>
      <c r="Q96" s="24">
        <v>0</v>
      </c>
      <c r="R96" s="30"/>
      <c r="S96" s="24">
        <v>0</v>
      </c>
      <c r="T96" s="40"/>
      <c r="U96" s="24">
        <v>0</v>
      </c>
      <c r="V96" s="30"/>
      <c r="W96" s="24">
        <v>0</v>
      </c>
      <c r="X96" s="30"/>
      <c r="Y96" s="24">
        <v>0</v>
      </c>
      <c r="Z96" s="30"/>
      <c r="AA96" s="24">
        <v>0</v>
      </c>
      <c r="AB96" s="30"/>
      <c r="AC96" s="40">
        <f t="shared" si="2"/>
        <v>20510711</v>
      </c>
      <c r="AD96" s="41"/>
      <c r="AE96" s="24">
        <v>1401737</v>
      </c>
      <c r="AG96" s="24">
        <v>7652694</v>
      </c>
      <c r="AI96" s="24">
        <v>-5075</v>
      </c>
      <c r="AK96" s="32">
        <f>+GenRev!Q96-GenExp!AC96-AE96+GenRev!S96+AG96+AI96-'Gen Fd BS'!U96</f>
        <v>0</v>
      </c>
    </row>
    <row r="97" spans="1:37" s="32" customFormat="1" ht="12.75" customHeight="1" hidden="1">
      <c r="A97" s="23" t="s">
        <v>173</v>
      </c>
      <c r="B97" s="23"/>
      <c r="C97" s="24"/>
      <c r="D97" s="30"/>
      <c r="E97" s="24"/>
      <c r="F97" s="30"/>
      <c r="G97" s="24"/>
      <c r="H97" s="30"/>
      <c r="I97" s="24"/>
      <c r="J97" s="30"/>
      <c r="K97" s="24"/>
      <c r="L97" s="30"/>
      <c r="M97" s="24"/>
      <c r="N97" s="30"/>
      <c r="O97" s="24"/>
      <c r="P97" s="30"/>
      <c r="Q97" s="24"/>
      <c r="R97" s="30"/>
      <c r="S97" s="24"/>
      <c r="T97" s="40"/>
      <c r="U97" s="24"/>
      <c r="V97" s="30"/>
      <c r="W97" s="24"/>
      <c r="X97" s="30"/>
      <c r="Y97" s="24"/>
      <c r="Z97" s="30"/>
      <c r="AA97" s="24"/>
      <c r="AB97" s="30"/>
      <c r="AC97" s="40">
        <f t="shared" si="2"/>
        <v>0</v>
      </c>
      <c r="AD97" s="41"/>
      <c r="AE97" s="24"/>
      <c r="AG97" s="24"/>
      <c r="AI97" s="24"/>
      <c r="AK97" s="32">
        <f>+GenRev!Q97-GenExp!AC97-AE97+GenRev!S97+AG97+AI97-'Gen Fd BS'!U97</f>
        <v>0</v>
      </c>
    </row>
    <row r="98" spans="1:37" s="32" customFormat="1" ht="12.75" customHeight="1">
      <c r="A98" s="23" t="s">
        <v>83</v>
      </c>
      <c r="B98" s="23"/>
      <c r="C98" s="24">
        <v>15577975</v>
      </c>
      <c r="D98" s="30"/>
      <c r="E98" s="24">
        <v>7140735</v>
      </c>
      <c r="F98" s="30"/>
      <c r="G98" s="24">
        <v>7200561</v>
      </c>
      <c r="H98" s="30"/>
      <c r="I98" s="24">
        <v>616364</v>
      </c>
      <c r="J98" s="30"/>
      <c r="K98" s="24">
        <v>289827</v>
      </c>
      <c r="L98" s="30"/>
      <c r="M98" s="24">
        <v>574803</v>
      </c>
      <c r="N98" s="30"/>
      <c r="O98" s="24">
        <v>483817</v>
      </c>
      <c r="P98" s="30"/>
      <c r="Q98" s="24">
        <v>143416</v>
      </c>
      <c r="R98" s="30"/>
      <c r="S98" s="24">
        <v>488864</v>
      </c>
      <c r="T98" s="40"/>
      <c r="U98" s="24">
        <v>0</v>
      </c>
      <c r="V98" s="30"/>
      <c r="W98" s="24">
        <v>399357</v>
      </c>
      <c r="X98" s="30"/>
      <c r="Y98" s="24">
        <v>0</v>
      </c>
      <c r="Z98" s="30"/>
      <c r="AA98" s="24">
        <v>0</v>
      </c>
      <c r="AB98" s="30"/>
      <c r="AC98" s="40">
        <f t="shared" si="2"/>
        <v>32915719</v>
      </c>
      <c r="AD98" s="41"/>
      <c r="AE98" s="24">
        <v>2416654</v>
      </c>
      <c r="AG98" s="24">
        <v>17566566</v>
      </c>
      <c r="AI98" s="24"/>
      <c r="AK98" s="32">
        <f>+GenRev!Q98-GenExp!AC98-AE98+GenRev!S98+AG98+AI98-'Gen Fd BS'!U98</f>
        <v>0</v>
      </c>
    </row>
    <row r="99" spans="1:37" s="32" customFormat="1" ht="12.75" customHeight="1" hidden="1">
      <c r="A99" s="23" t="s">
        <v>174</v>
      </c>
      <c r="B99" s="23"/>
      <c r="C99" s="24">
        <v>0</v>
      </c>
      <c r="D99" s="68"/>
      <c r="E99" s="24">
        <v>0</v>
      </c>
      <c r="F99" s="68"/>
      <c r="G99" s="24">
        <v>0</v>
      </c>
      <c r="H99" s="68"/>
      <c r="I99" s="24">
        <v>0</v>
      </c>
      <c r="J99" s="68"/>
      <c r="K99" s="24">
        <v>0</v>
      </c>
      <c r="L99" s="68"/>
      <c r="M99" s="24">
        <v>0</v>
      </c>
      <c r="N99" s="68"/>
      <c r="O99" s="24">
        <v>0</v>
      </c>
      <c r="P99" s="68"/>
      <c r="Q99" s="24">
        <v>0</v>
      </c>
      <c r="R99" s="68"/>
      <c r="S99" s="24">
        <v>0</v>
      </c>
      <c r="T99" s="68"/>
      <c r="U99" s="24">
        <v>0</v>
      </c>
      <c r="V99" s="68"/>
      <c r="W99" s="24">
        <v>0</v>
      </c>
      <c r="X99" s="68"/>
      <c r="Y99" s="24">
        <v>0</v>
      </c>
      <c r="Z99" s="68"/>
      <c r="AA99" s="24">
        <v>0</v>
      </c>
      <c r="AB99" s="68"/>
      <c r="AC99" s="40">
        <f>SUM(C99:AA99)</f>
        <v>0</v>
      </c>
      <c r="AD99" s="41"/>
      <c r="AE99" s="24">
        <v>0</v>
      </c>
      <c r="AG99" s="24">
        <v>0</v>
      </c>
      <c r="AI99" s="24">
        <v>0</v>
      </c>
      <c r="AK99" s="32">
        <f>+GenRev!Q99-GenExp!AC99-AE99+GenRev!S99+AG99+AI99-'Gen Fd BS'!U99</f>
        <v>0</v>
      </c>
    </row>
    <row r="100" spans="1:31" s="32" customFormat="1" ht="12.75" customHeight="1">
      <c r="A100" s="23"/>
      <c r="B100" s="23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23"/>
    </row>
    <row r="101" spans="1:31" s="32" customFormat="1" ht="12.75" customHeight="1">
      <c r="A101" s="23"/>
      <c r="B101" s="23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23"/>
    </row>
    <row r="102" spans="1:31" s="32" customFormat="1" ht="12.75" customHeight="1">
      <c r="A102" s="23"/>
      <c r="B102" s="23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23"/>
    </row>
    <row r="103" spans="1:31" s="32" customFormat="1" ht="12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s="32" customFormat="1" ht="12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s="32" customFormat="1" ht="12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s="32" customFormat="1" ht="12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="32" customFormat="1" ht="12.75" customHeight="1"/>
    <row r="108" s="32" customFormat="1" ht="12.75" customHeight="1"/>
    <row r="109" s="32" customFormat="1" ht="12.75" customHeight="1"/>
    <row r="110" s="32" customFormat="1" ht="12.75" customHeight="1"/>
    <row r="111" s="32" customFormat="1" ht="12.75" customHeight="1"/>
    <row r="112" s="32" customFormat="1" ht="12.75" customHeight="1"/>
    <row r="113" s="32" customFormat="1" ht="12.75" customHeight="1"/>
    <row r="114" s="32" customFormat="1" ht="12.75" customHeight="1"/>
    <row r="115" s="32" customFormat="1" ht="12.75" customHeight="1"/>
    <row r="116" s="32" customFormat="1" ht="12.75" customHeight="1"/>
    <row r="117" s="32" customFormat="1" ht="12.75" customHeight="1"/>
    <row r="118" s="32" customFormat="1" ht="12.75" customHeight="1"/>
    <row r="119" s="32" customFormat="1" ht="12.75" customHeight="1"/>
    <row r="120" s="32" customFormat="1" ht="12.75" customHeight="1"/>
    <row r="121" s="32" customFormat="1" ht="12.75" customHeight="1"/>
    <row r="122" s="32" customFormat="1" ht="12.75" customHeight="1"/>
    <row r="123" s="32" customFormat="1" ht="12.75" customHeight="1"/>
    <row r="124" s="32" customFormat="1" ht="12.75" customHeight="1"/>
    <row r="125" s="32" customFormat="1" ht="12.75" customHeight="1"/>
    <row r="126" s="32" customFormat="1" ht="12.75" customHeight="1"/>
    <row r="127" s="32" customFormat="1" ht="12.75" customHeight="1"/>
    <row r="128" s="32" customFormat="1" ht="12.75" customHeight="1"/>
    <row r="129" s="32" customFormat="1" ht="12.75" customHeight="1"/>
    <row r="130" s="32" customFormat="1" ht="12.75" customHeight="1"/>
    <row r="131" s="32" customFormat="1" ht="12.75" customHeight="1"/>
    <row r="132" s="32" customFormat="1" ht="12.75" customHeight="1"/>
    <row r="133" s="32" customFormat="1" ht="12.75" customHeight="1"/>
    <row r="134" s="32" customFormat="1" ht="12.75" customHeight="1"/>
    <row r="135" s="32" customFormat="1" ht="12.75" customHeight="1"/>
    <row r="136" s="32" customFormat="1" ht="12.75" customHeight="1"/>
    <row r="137" s="32" customFormat="1" ht="12.75" customHeight="1"/>
    <row r="138" s="32" customFormat="1" ht="12.75" customHeight="1"/>
    <row r="139" s="32" customFormat="1" ht="12.75" customHeight="1"/>
    <row r="140" s="32" customFormat="1" ht="12.75" customHeight="1"/>
    <row r="141" s="32" customFormat="1" ht="12.75" customHeight="1"/>
    <row r="142" s="32" customFormat="1" ht="12.75" customHeight="1"/>
    <row r="143" s="32" customFormat="1" ht="12.75" customHeight="1"/>
    <row r="144" s="32" customFormat="1" ht="12.75" customHeight="1"/>
    <row r="145" s="32" customFormat="1" ht="12.75" customHeight="1"/>
    <row r="146" s="32" customFormat="1" ht="12.75" customHeight="1"/>
    <row r="147" s="32" customFormat="1" ht="12.75" customHeight="1"/>
    <row r="148" s="32" customFormat="1" ht="12.75" customHeight="1"/>
    <row r="149" s="32" customFormat="1" ht="12.75" customHeight="1"/>
    <row r="150" s="32" customFormat="1" ht="12.75" customHeight="1"/>
    <row r="151" s="32" customFormat="1" ht="12.75" customHeight="1"/>
    <row r="152" s="32" customFormat="1" ht="12.75" customHeight="1"/>
    <row r="153" s="32" customFormat="1" ht="12.75" customHeight="1"/>
    <row r="154" s="32" customFormat="1" ht="12.75" customHeight="1"/>
    <row r="155" s="32" customFormat="1" ht="12.75" customHeight="1"/>
    <row r="156" s="32" customFormat="1" ht="12.75" customHeight="1"/>
    <row r="157" s="32" customFormat="1" ht="12.75" customHeight="1"/>
    <row r="158" s="32" customFormat="1" ht="12.75" customHeight="1"/>
    <row r="159" s="32" customFormat="1" ht="12.75" customHeight="1"/>
    <row r="160" s="32" customFormat="1" ht="12.75" customHeight="1"/>
    <row r="161" s="32" customFormat="1" ht="12.75" customHeight="1"/>
    <row r="162" s="32" customFormat="1" ht="12.75" customHeight="1"/>
    <row r="163" s="32" customFormat="1" ht="12.75" customHeight="1"/>
    <row r="164" s="32" customFormat="1" ht="12.75" customHeight="1"/>
    <row r="165" s="32" customFormat="1" ht="12.75" customHeight="1"/>
    <row r="166" s="32" customFormat="1" ht="12.75" customHeight="1"/>
    <row r="167" s="32" customFormat="1" ht="12.75" customHeight="1"/>
    <row r="168" s="32" customFormat="1" ht="12.75" customHeight="1"/>
    <row r="169" s="32" customFormat="1" ht="12.75" customHeight="1"/>
    <row r="170" s="32" customFormat="1" ht="12.75" customHeight="1"/>
    <row r="171" s="32" customFormat="1" ht="12.75" customHeight="1"/>
    <row r="172" s="32" customFormat="1" ht="12.75" customHeight="1"/>
    <row r="173" s="32" customFormat="1" ht="12.75" customHeight="1"/>
    <row r="174" s="32" customFormat="1" ht="12.75" customHeight="1"/>
    <row r="175" s="32" customFormat="1" ht="12.75" customHeight="1"/>
    <row r="176" s="32" customFormat="1" ht="12.75" customHeight="1"/>
    <row r="177" s="32" customFormat="1" ht="12" customHeight="1"/>
    <row r="178" s="32" customFormat="1" ht="12" customHeight="1"/>
    <row r="179" s="32" customFormat="1" ht="12" customHeight="1"/>
    <row r="180" s="32" customFormat="1" ht="12" customHeight="1"/>
    <row r="181" s="32" customFormat="1" ht="12" customHeight="1"/>
    <row r="182" s="32" customFormat="1" ht="12" customHeight="1"/>
    <row r="183" s="32" customFormat="1" ht="12" customHeight="1"/>
    <row r="184" s="32" customFormat="1" ht="12" customHeight="1"/>
    <row r="185" s="32" customFormat="1" ht="12" customHeight="1"/>
    <row r="186" s="32" customFormat="1" ht="12" customHeight="1"/>
    <row r="187" s="32" customFormat="1" ht="12" customHeight="1"/>
    <row r="188" s="32" customFormat="1" ht="12" customHeight="1"/>
    <row r="189" s="32" customFormat="1" ht="12" customHeight="1"/>
    <row r="190" s="32" customFormat="1" ht="12" customHeight="1"/>
    <row r="191" s="32" customFormat="1" ht="12" customHeight="1"/>
    <row r="192" s="32" customFormat="1" ht="12" customHeight="1"/>
    <row r="193" s="32" customFormat="1" ht="12" customHeight="1"/>
    <row r="194" s="32" customFormat="1" ht="12" customHeight="1"/>
    <row r="195" s="32" customFormat="1" ht="12" customHeight="1"/>
    <row r="196" s="32" customFormat="1" ht="12" customHeight="1"/>
    <row r="197" s="32" customFormat="1" ht="12" customHeight="1"/>
    <row r="198" s="32" customFormat="1" ht="12" customHeight="1"/>
    <row r="199" s="32" customFormat="1" ht="12" customHeight="1"/>
    <row r="200" s="32" customFormat="1" ht="12" customHeight="1"/>
    <row r="201" s="32" customFormat="1" ht="12" customHeight="1"/>
    <row r="202" s="32" customFormat="1" ht="12" customHeight="1"/>
    <row r="203" s="32" customFormat="1" ht="12" customHeight="1"/>
    <row r="204" s="32" customFormat="1" ht="12" customHeight="1"/>
    <row r="205" s="32" customFormat="1" ht="12" customHeight="1"/>
    <row r="206" s="32" customFormat="1" ht="12" customHeight="1"/>
    <row r="207" s="34" customFormat="1" ht="12" customHeight="1"/>
    <row r="208" s="34" customFormat="1" ht="12" customHeight="1"/>
    <row r="209" s="34" customFormat="1" ht="12" customHeight="1"/>
    <row r="210" s="34" customFormat="1" ht="12" customHeight="1"/>
    <row r="211" s="34" customFormat="1" ht="12" customHeight="1"/>
    <row r="212" s="34" customFormat="1" ht="12" customHeight="1"/>
    <row r="213" s="34" customFormat="1" ht="12" customHeight="1"/>
    <row r="214" s="34" customFormat="1" ht="12" customHeight="1"/>
    <row r="215" s="34" customFormat="1" ht="12" customHeight="1"/>
    <row r="216" s="34" customFormat="1" ht="12" customHeight="1"/>
    <row r="217" s="34" customFormat="1" ht="12" customHeight="1"/>
    <row r="218" s="34" customFormat="1" ht="12" customHeight="1"/>
    <row r="219" s="34" customFormat="1" ht="12" customHeight="1"/>
    <row r="220" s="34" customFormat="1" ht="12" customHeight="1"/>
    <row r="221" s="34" customFormat="1" ht="12" customHeight="1"/>
    <row r="222" s="34" customFormat="1" ht="12" customHeight="1"/>
    <row r="223" s="34" customFormat="1" ht="12" customHeight="1"/>
    <row r="224" s="34" customFormat="1" ht="12" customHeight="1"/>
    <row r="225" s="34" customFormat="1" ht="12" customHeight="1"/>
    <row r="226" s="34" customFormat="1" ht="12" customHeight="1"/>
    <row r="227" s="34" customFormat="1" ht="12" customHeight="1"/>
    <row r="228" s="34" customFormat="1" ht="12" customHeight="1"/>
    <row r="229" s="34" customFormat="1" ht="12" customHeight="1"/>
    <row r="230" s="34" customFormat="1" ht="12" customHeight="1"/>
    <row r="231" s="34" customFormat="1" ht="12" customHeight="1"/>
    <row r="232" s="34" customFormat="1" ht="12" customHeight="1"/>
    <row r="233" s="34" customFormat="1" ht="12" customHeight="1"/>
    <row r="234" s="34" customFormat="1" ht="12" customHeight="1"/>
    <row r="235" s="34" customFormat="1" ht="12" customHeight="1"/>
    <row r="236" s="34" customFormat="1" ht="12" customHeight="1"/>
    <row r="237" s="34" customFormat="1" ht="12" customHeight="1"/>
    <row r="238" s="34" customFormat="1" ht="12" customHeight="1"/>
    <row r="239" s="34" customFormat="1" ht="12" customHeight="1"/>
    <row r="240" s="34" customFormat="1" ht="12" customHeight="1"/>
    <row r="241" s="34" customFormat="1" ht="12" customHeight="1"/>
    <row r="242" s="34" customFormat="1" ht="12" customHeight="1"/>
    <row r="243" s="34" customFormat="1" ht="12" customHeight="1"/>
    <row r="244" s="34" customFormat="1" ht="12" customHeight="1"/>
    <row r="245" s="34" customFormat="1" ht="12" customHeight="1"/>
    <row r="246" s="34" customFormat="1" ht="12" customHeight="1"/>
    <row r="247" s="34" customFormat="1" ht="12" customHeight="1"/>
    <row r="248" s="34" customFormat="1" ht="12" customHeight="1"/>
    <row r="249" s="34" customFormat="1" ht="12" customHeight="1"/>
    <row r="250" s="34" customFormat="1" ht="12" customHeight="1"/>
    <row r="251" s="34" customFormat="1" ht="12" customHeight="1"/>
    <row r="252" s="34" customFormat="1" ht="12" customHeight="1"/>
    <row r="253" s="34" customFormat="1" ht="12" customHeight="1"/>
    <row r="254" s="34" customFormat="1" ht="12" customHeight="1"/>
    <row r="255" s="34" customFormat="1" ht="12" customHeight="1"/>
    <row r="256" s="34" customFormat="1" ht="12" customHeight="1"/>
    <row r="257" s="34" customFormat="1" ht="12" customHeight="1"/>
    <row r="258" s="34" customFormat="1" ht="12" customHeight="1"/>
    <row r="259" s="34" customFormat="1" ht="12" customHeight="1"/>
    <row r="260" s="34" customFormat="1" ht="12" customHeight="1"/>
    <row r="261" s="34" customFormat="1" ht="12" customHeight="1"/>
    <row r="262" s="34" customFormat="1" ht="12" customHeight="1"/>
    <row r="263" s="34" customFormat="1" ht="12" customHeight="1"/>
    <row r="264" s="34" customFormat="1" ht="12" customHeight="1"/>
    <row r="265" s="34" customFormat="1" ht="12" customHeight="1"/>
    <row r="266" s="34" customFormat="1" ht="12" customHeight="1"/>
    <row r="267" s="34" customFormat="1" ht="12" customHeight="1"/>
    <row r="268" s="34" customFormat="1" ht="12" customHeight="1"/>
    <row r="269" s="34" customFormat="1" ht="12" customHeight="1"/>
    <row r="270" s="34" customFormat="1" ht="12" customHeight="1"/>
    <row r="271" s="34" customFormat="1" ht="12" customHeight="1"/>
    <row r="272" s="34" customFormat="1" ht="12" customHeight="1"/>
    <row r="273" s="34" customFormat="1" ht="12" customHeight="1"/>
    <row r="274" s="34" customFormat="1" ht="12" customHeight="1"/>
    <row r="275" s="34" customFormat="1" ht="12" customHeight="1"/>
    <row r="276" s="34" customFormat="1" ht="12" customHeight="1"/>
    <row r="277" s="34" customFormat="1" ht="12" customHeight="1"/>
    <row r="278" s="34" customFormat="1" ht="12" customHeight="1"/>
    <row r="279" s="34" customFormat="1" ht="12" customHeight="1"/>
    <row r="280" s="34" customFormat="1" ht="12" customHeight="1"/>
    <row r="281" s="34" customFormat="1" ht="12" customHeight="1"/>
    <row r="282" s="34" customFormat="1" ht="12" customHeight="1"/>
    <row r="283" s="34" customFormat="1" ht="12" customHeight="1"/>
    <row r="284" s="34" customFormat="1" ht="12" customHeight="1"/>
    <row r="285" s="34" customFormat="1" ht="12" customHeight="1"/>
    <row r="286" s="34" customFormat="1" ht="12" customHeight="1"/>
    <row r="287" s="34" customFormat="1" ht="12" customHeight="1"/>
    <row r="288" s="34" customFormat="1" ht="12" customHeight="1"/>
    <row r="289" s="34" customFormat="1" ht="12" customHeight="1"/>
    <row r="290" s="34" customFormat="1" ht="12" customHeight="1"/>
    <row r="291" s="34" customFormat="1" ht="12" customHeight="1"/>
    <row r="292" s="34" customFormat="1" ht="12" customHeight="1"/>
    <row r="293" s="34" customFormat="1" ht="12" customHeight="1"/>
    <row r="294" s="34" customFormat="1" ht="12" customHeight="1"/>
    <row r="295" s="34" customFormat="1" ht="12" customHeight="1"/>
    <row r="296" s="34" customFormat="1" ht="12" customHeight="1"/>
    <row r="297" s="34" customFormat="1" ht="12" customHeight="1"/>
    <row r="298" s="34" customFormat="1" ht="12" customHeight="1"/>
    <row r="299" s="34" customFormat="1" ht="12" customHeight="1"/>
    <row r="300" s="34" customFormat="1" ht="12" customHeight="1"/>
    <row r="301" s="34" customFormat="1" ht="12" customHeight="1"/>
    <row r="302" s="34" customFormat="1" ht="12" customHeight="1"/>
    <row r="303" s="34" customFormat="1" ht="12" customHeight="1"/>
    <row r="304" s="34" customFormat="1" ht="12" customHeight="1"/>
    <row r="305" s="34" customFormat="1" ht="12" customHeight="1"/>
    <row r="306" s="34" customFormat="1" ht="12" customHeight="1"/>
    <row r="307" s="34" customFormat="1" ht="12" customHeight="1"/>
    <row r="308" s="34" customFormat="1" ht="12" customHeight="1"/>
    <row r="309" s="34" customFormat="1" ht="12" customHeight="1"/>
    <row r="310" s="34" customFormat="1" ht="12" customHeight="1"/>
    <row r="311" s="34" customFormat="1" ht="12" customHeight="1"/>
    <row r="312" s="34" customFormat="1" ht="12" customHeight="1"/>
    <row r="313" s="34" customFormat="1" ht="12" customHeight="1"/>
    <row r="314" s="34" customFormat="1" ht="12" customHeight="1"/>
    <row r="315" s="34" customFormat="1" ht="12" customHeight="1"/>
    <row r="316" s="34" customFormat="1" ht="12" customHeight="1"/>
    <row r="317" s="34" customFormat="1" ht="12" customHeight="1"/>
    <row r="318" s="34" customFormat="1" ht="12" customHeight="1"/>
    <row r="319" s="34" customFormat="1" ht="12" customHeight="1"/>
    <row r="320" s="34" customFormat="1" ht="12" customHeight="1"/>
    <row r="321" s="34" customFormat="1" ht="12" customHeight="1"/>
    <row r="322" s="34" customFormat="1" ht="12" customHeight="1"/>
    <row r="323" s="34" customFormat="1" ht="12" customHeight="1"/>
    <row r="324" s="34" customFormat="1" ht="12" customHeight="1"/>
    <row r="325" s="34" customFormat="1" ht="12" customHeight="1"/>
    <row r="326" s="34" customFormat="1" ht="12" customHeight="1"/>
    <row r="327" s="34" customFormat="1" ht="12" customHeight="1"/>
    <row r="328" s="34" customFormat="1" ht="12" customHeight="1"/>
    <row r="329" s="34" customFormat="1" ht="12" customHeight="1"/>
    <row r="330" s="34" customFormat="1" ht="12" customHeight="1"/>
    <row r="331" s="34" customFormat="1" ht="12" customHeight="1"/>
    <row r="332" s="34" customFormat="1" ht="12" customHeight="1"/>
    <row r="333" s="34" customFormat="1" ht="12" customHeight="1"/>
    <row r="334" s="34" customFormat="1" ht="12" customHeight="1"/>
    <row r="335" s="34" customFormat="1" ht="12" customHeight="1"/>
    <row r="336" s="34" customFormat="1" ht="12" customHeight="1"/>
    <row r="337" s="34" customFormat="1" ht="12" customHeight="1"/>
    <row r="338" s="34" customFormat="1" ht="12" customHeight="1"/>
    <row r="339" s="34" customFormat="1" ht="12" customHeight="1"/>
    <row r="340" s="34" customFormat="1" ht="12" customHeight="1"/>
    <row r="341" s="34" customFormat="1" ht="12" customHeight="1"/>
    <row r="342" s="34" customFormat="1" ht="12" customHeight="1"/>
    <row r="343" s="34" customFormat="1" ht="12" customHeight="1"/>
    <row r="344" s="34" customFormat="1" ht="12" customHeight="1"/>
    <row r="345" s="34" customFormat="1" ht="12" customHeight="1"/>
    <row r="346" s="34" customFormat="1" ht="12" customHeight="1"/>
    <row r="347" s="34" customFormat="1" ht="12" customHeight="1"/>
    <row r="348" s="34" customFormat="1" ht="12" customHeight="1"/>
    <row r="349" s="34" customFormat="1" ht="12" customHeight="1"/>
    <row r="350" s="34" customFormat="1" ht="12" customHeight="1"/>
    <row r="351" s="34" customFormat="1" ht="12" customHeight="1"/>
    <row r="352" s="34" customFormat="1" ht="12" customHeight="1"/>
    <row r="353" s="34" customFormat="1" ht="12" customHeight="1"/>
    <row r="354" s="34" customFormat="1" ht="12" customHeight="1"/>
    <row r="355" s="34" customFormat="1" ht="12" customHeight="1"/>
    <row r="356" s="34" customFormat="1" ht="12" customHeight="1"/>
    <row r="357" s="34" customFormat="1" ht="12" customHeight="1"/>
    <row r="358" s="34" customFormat="1" ht="12" customHeight="1"/>
    <row r="359" s="34" customFormat="1" ht="12" customHeight="1"/>
    <row r="360" s="34" customFormat="1" ht="12" customHeight="1"/>
    <row r="361" s="34" customFormat="1" ht="12" customHeight="1"/>
    <row r="362" s="34" customFormat="1" ht="12" customHeight="1"/>
    <row r="363" s="34" customFormat="1" ht="12" customHeight="1"/>
    <row r="364" s="34" customFormat="1" ht="12" customHeight="1"/>
    <row r="365" s="34" customFormat="1" ht="12" customHeight="1"/>
    <row r="366" s="34" customFormat="1" ht="12" customHeight="1"/>
    <row r="367" s="34" customFormat="1" ht="12" customHeight="1"/>
    <row r="368" s="34" customFormat="1" ht="12" customHeight="1"/>
    <row r="369" s="34" customFormat="1" ht="12" customHeight="1"/>
    <row r="370" s="34" customFormat="1" ht="12" customHeight="1"/>
    <row r="371" s="34" customFormat="1" ht="12" customHeight="1"/>
    <row r="372" s="34" customFormat="1" ht="12" customHeight="1"/>
    <row r="373" s="34" customFormat="1" ht="12" customHeight="1"/>
    <row r="374" s="34" customFormat="1" ht="12" customHeight="1"/>
    <row r="375" s="34" customFormat="1" ht="12" customHeight="1"/>
    <row r="376" s="34" customFormat="1" ht="12" customHeight="1"/>
    <row r="377" s="34" customFormat="1" ht="12" customHeight="1"/>
    <row r="378" s="34" customFormat="1" ht="12" customHeight="1"/>
    <row r="379" s="34" customFormat="1" ht="12" customHeight="1"/>
    <row r="380" s="34" customFormat="1" ht="12" customHeight="1"/>
    <row r="381" s="34" customFormat="1" ht="12" customHeight="1"/>
    <row r="382" s="34" customFormat="1" ht="12" customHeight="1"/>
    <row r="383" s="34" customFormat="1" ht="12" customHeight="1"/>
    <row r="384" s="34" customFormat="1" ht="12" customHeight="1"/>
    <row r="385" s="34" customFormat="1" ht="12" customHeight="1"/>
    <row r="386" s="34" customFormat="1" ht="12" customHeight="1"/>
    <row r="387" s="34" customFormat="1" ht="12" customHeight="1"/>
    <row r="388" s="34" customFormat="1" ht="12" customHeight="1"/>
    <row r="389" s="34" customFormat="1" ht="12" customHeight="1"/>
    <row r="390" s="34" customFormat="1" ht="12" customHeight="1"/>
    <row r="391" s="34" customFormat="1" ht="12" customHeight="1"/>
    <row r="392" s="34" customFormat="1" ht="12" customHeight="1"/>
    <row r="393" s="34" customFormat="1" ht="12" customHeight="1"/>
    <row r="394" s="34" customFormat="1" ht="12" customHeight="1"/>
    <row r="395" s="34" customFormat="1" ht="12" customHeight="1"/>
    <row r="396" s="34" customFormat="1" ht="12" customHeight="1"/>
    <row r="397" s="34" customFormat="1" ht="12" customHeight="1"/>
    <row r="398" s="34" customFormat="1" ht="12" customHeight="1"/>
    <row r="399" s="34" customFormat="1" ht="12" customHeight="1"/>
    <row r="400" s="34" customFormat="1" ht="12" customHeight="1"/>
    <row r="401" s="34" customFormat="1" ht="12" customHeight="1"/>
    <row r="402" s="34" customFormat="1" ht="12" customHeight="1"/>
    <row r="403" s="34" customFormat="1" ht="12" customHeight="1"/>
    <row r="404" s="34" customFormat="1" ht="12" customHeight="1"/>
    <row r="405" s="34" customFormat="1" ht="12" customHeight="1"/>
    <row r="406" s="34" customFormat="1" ht="12" customHeight="1"/>
    <row r="407" s="34" customFormat="1" ht="12" customHeight="1"/>
    <row r="408" s="34" customFormat="1" ht="12" customHeight="1"/>
    <row r="409" s="34" customFormat="1" ht="12" customHeight="1"/>
    <row r="410" s="34" customFormat="1" ht="12" customHeight="1"/>
    <row r="411" s="34" customFormat="1" ht="12" customHeight="1"/>
    <row r="412" s="34" customFormat="1" ht="12" customHeight="1"/>
    <row r="413" s="34" customFormat="1" ht="12" customHeight="1"/>
    <row r="414" s="34" customFormat="1" ht="12" customHeight="1"/>
    <row r="415" s="34" customFormat="1" ht="12" customHeight="1"/>
    <row r="416" s="34" customFormat="1" ht="12" customHeight="1"/>
    <row r="417" s="34" customFormat="1" ht="12" customHeight="1"/>
    <row r="418" s="34" customFormat="1" ht="12" customHeight="1"/>
    <row r="419" s="34" customFormat="1" ht="12" customHeight="1"/>
    <row r="420" s="34" customFormat="1" ht="12" customHeight="1"/>
    <row r="421" s="34" customFormat="1" ht="12" customHeight="1"/>
    <row r="422" s="34" customFormat="1" ht="12" customHeight="1"/>
    <row r="423" s="34" customFormat="1" ht="12" customHeight="1"/>
    <row r="424" s="34" customFormat="1" ht="12" customHeight="1"/>
    <row r="425" s="34" customFormat="1" ht="12" customHeight="1"/>
    <row r="426" s="34" customFormat="1" ht="12" customHeight="1"/>
    <row r="427" s="34" customFormat="1" ht="12" customHeight="1"/>
    <row r="428" s="34" customFormat="1" ht="12" customHeight="1"/>
    <row r="429" s="34" customFormat="1" ht="12" customHeight="1"/>
    <row r="430" s="34" customFormat="1" ht="12" customHeight="1"/>
    <row r="431" s="34" customFormat="1" ht="12" customHeight="1"/>
    <row r="432" s="34" customFormat="1" ht="12" customHeight="1"/>
    <row r="433" s="34" customFormat="1" ht="12" customHeight="1"/>
    <row r="434" s="34" customFormat="1" ht="12" customHeight="1"/>
    <row r="435" s="34" customFormat="1" ht="12" customHeight="1"/>
    <row r="436" s="34" customFormat="1" ht="12" customHeight="1"/>
    <row r="437" s="34" customFormat="1" ht="12" customHeight="1"/>
    <row r="438" s="34" customFormat="1" ht="12" customHeight="1"/>
    <row r="439" s="34" customFormat="1" ht="12" customHeight="1"/>
    <row r="440" s="34" customFormat="1" ht="12" customHeight="1"/>
    <row r="441" s="34" customFormat="1" ht="12" customHeight="1"/>
    <row r="442" s="34" customFormat="1" ht="12" customHeight="1"/>
    <row r="443" s="34" customFormat="1" ht="12" customHeight="1"/>
    <row r="444" s="34" customFormat="1" ht="12" customHeight="1"/>
    <row r="445" s="34" customFormat="1" ht="12" customHeight="1"/>
    <row r="446" s="34" customFormat="1" ht="12" customHeight="1"/>
    <row r="447" s="34" customFormat="1" ht="12" customHeight="1"/>
    <row r="448" s="34" customFormat="1" ht="12" customHeight="1"/>
    <row r="449" s="34" customFormat="1" ht="12" customHeight="1"/>
    <row r="450" s="34" customFormat="1" ht="12" customHeight="1"/>
    <row r="451" s="34" customFormat="1" ht="12" customHeight="1"/>
    <row r="452" s="34" customFormat="1" ht="12" customHeight="1"/>
    <row r="453" s="34" customFormat="1" ht="12" customHeight="1"/>
    <row r="454" s="34" customFormat="1" ht="12" customHeight="1"/>
    <row r="455" s="34" customFormat="1" ht="12" customHeight="1"/>
    <row r="456" s="34" customFormat="1" ht="12" customHeight="1"/>
    <row r="457" s="34" customFormat="1" ht="12" customHeight="1"/>
    <row r="458" s="34" customFormat="1" ht="12" customHeight="1"/>
    <row r="459" s="34" customFormat="1" ht="12" customHeight="1"/>
    <row r="460" s="34" customFormat="1" ht="12" customHeight="1"/>
    <row r="461" s="34" customFormat="1" ht="12" customHeight="1"/>
    <row r="462" s="34" customFormat="1" ht="12" customHeight="1"/>
    <row r="463" s="34" customFormat="1" ht="12" customHeight="1"/>
    <row r="464" s="34" customFormat="1" ht="12" customHeight="1"/>
    <row r="465" s="34" customFormat="1" ht="12" customHeight="1"/>
    <row r="466" s="34" customFormat="1" ht="12" customHeight="1"/>
    <row r="467" s="34" customFormat="1" ht="12" customHeight="1"/>
    <row r="468" s="34" customFormat="1" ht="12" customHeight="1"/>
    <row r="469" s="34" customFormat="1" ht="12" customHeight="1"/>
    <row r="470" s="34" customFormat="1" ht="12" customHeight="1"/>
    <row r="471" s="34" customFormat="1" ht="12" customHeight="1"/>
    <row r="472" s="34" customFormat="1" ht="12" customHeight="1"/>
    <row r="473" s="34" customFormat="1" ht="12" customHeight="1"/>
    <row r="474" s="34" customFormat="1" ht="12" customHeight="1"/>
    <row r="475" s="34" customFormat="1" ht="12" customHeight="1"/>
    <row r="476" s="34" customFormat="1" ht="12" customHeight="1"/>
    <row r="477" s="34" customFormat="1" ht="12" customHeight="1"/>
    <row r="478" s="34" customFormat="1" ht="12" customHeight="1"/>
    <row r="479" s="34" customFormat="1" ht="12" customHeight="1"/>
    <row r="480" s="34" customFormat="1" ht="12" customHeight="1"/>
    <row r="481" s="34" customFormat="1" ht="12" customHeight="1"/>
    <row r="482" s="34" customFormat="1" ht="12" customHeight="1"/>
    <row r="483" s="34" customFormat="1" ht="12" customHeight="1"/>
    <row r="484" s="34" customFormat="1" ht="12" customHeight="1"/>
    <row r="485" s="34" customFormat="1" ht="12" customHeight="1"/>
    <row r="486" s="34" customFormat="1" ht="12" customHeight="1"/>
    <row r="487" s="34" customFormat="1" ht="12" customHeight="1"/>
    <row r="488" s="34" customFormat="1" ht="12" customHeight="1"/>
    <row r="489" s="34" customFormat="1" ht="12" customHeight="1"/>
    <row r="490" s="34" customFormat="1" ht="12" customHeight="1"/>
    <row r="491" s="34" customFormat="1" ht="12" customHeight="1"/>
    <row r="492" s="34" customFormat="1" ht="12" customHeight="1"/>
    <row r="493" s="34" customFormat="1" ht="12" customHeight="1"/>
    <row r="494" s="34" customFormat="1" ht="12" customHeight="1"/>
    <row r="495" s="34" customFormat="1" ht="12" customHeight="1"/>
    <row r="496" s="34" customFormat="1" ht="12" customHeight="1"/>
    <row r="497" s="34" customFormat="1" ht="12" customHeight="1"/>
    <row r="498" s="34" customFormat="1" ht="12" customHeight="1"/>
    <row r="499" s="34" customFormat="1" ht="12" customHeight="1"/>
    <row r="500" s="34" customFormat="1" ht="12" customHeight="1"/>
    <row r="501" s="34" customFormat="1" ht="12" customHeight="1"/>
    <row r="502" s="34" customFormat="1" ht="12" customHeight="1"/>
    <row r="503" s="34" customFormat="1" ht="12" customHeight="1"/>
    <row r="504" s="34" customFormat="1" ht="12" customHeight="1"/>
    <row r="505" s="34" customFormat="1" ht="12" customHeight="1"/>
    <row r="506" s="34" customFormat="1" ht="12" customHeight="1"/>
    <row r="507" s="34" customFormat="1" ht="12" customHeight="1"/>
    <row r="508" s="34" customFormat="1" ht="12" customHeight="1"/>
    <row r="509" s="34" customFormat="1" ht="12" customHeight="1"/>
    <row r="510" s="34" customFormat="1" ht="12" customHeight="1"/>
    <row r="511" s="34" customFormat="1" ht="12" customHeight="1"/>
    <row r="512" s="34" customFormat="1" ht="12" customHeight="1"/>
    <row r="513" s="34" customFormat="1" ht="12" customHeight="1"/>
    <row r="514" s="34" customFormat="1" ht="12" customHeight="1"/>
    <row r="515" s="34" customFormat="1" ht="12" customHeight="1"/>
    <row r="516" s="34" customFormat="1" ht="12" customHeight="1"/>
    <row r="517" s="34" customFormat="1" ht="12" customHeight="1"/>
    <row r="518" s="34" customFormat="1" ht="12" customHeight="1"/>
    <row r="519" s="34" customFormat="1" ht="12" customHeight="1"/>
    <row r="520" s="34" customFormat="1" ht="12" customHeight="1"/>
    <row r="521" s="34" customFormat="1" ht="12" customHeight="1"/>
    <row r="522" s="34" customFormat="1" ht="12" customHeight="1"/>
    <row r="523" s="34" customFormat="1" ht="12" customHeight="1"/>
    <row r="524" s="34" customFormat="1" ht="12" customHeight="1"/>
    <row r="525" s="34" customFormat="1" ht="12" customHeight="1"/>
    <row r="526" s="34" customFormat="1" ht="12" customHeight="1"/>
    <row r="527" s="34" customFormat="1" ht="12" customHeight="1"/>
    <row r="528" s="34" customFormat="1" ht="12" customHeight="1"/>
    <row r="529" s="34" customFormat="1" ht="12" customHeight="1"/>
    <row r="530" s="34" customFormat="1" ht="12" customHeight="1"/>
    <row r="531" s="34" customFormat="1" ht="12" customHeight="1"/>
    <row r="532" s="34" customFormat="1" ht="12" customHeight="1"/>
    <row r="533" s="34" customFormat="1" ht="12" customHeight="1"/>
    <row r="534" s="34" customFormat="1" ht="12" customHeight="1"/>
    <row r="535" s="34" customFormat="1" ht="12" customHeight="1"/>
    <row r="536" s="34" customFormat="1" ht="12" customHeight="1"/>
    <row r="537" s="34" customFormat="1" ht="12" customHeight="1"/>
    <row r="538" s="34" customFormat="1" ht="12" customHeight="1"/>
    <row r="539" s="34" customFormat="1" ht="12" customHeight="1"/>
    <row r="540" s="34" customFormat="1" ht="12" customHeight="1"/>
    <row r="541" s="34" customFormat="1" ht="12" customHeight="1"/>
    <row r="542" s="34" customFormat="1" ht="12" customHeight="1"/>
    <row r="543" s="34" customFormat="1" ht="12" customHeight="1"/>
    <row r="544" s="34" customFormat="1" ht="12" customHeight="1"/>
    <row r="545" s="34" customFormat="1" ht="12" customHeight="1"/>
    <row r="546" s="34" customFormat="1" ht="12" customHeight="1"/>
    <row r="547" s="34" customFormat="1" ht="12" customHeight="1"/>
    <row r="548" s="34" customFormat="1" ht="12" customHeight="1"/>
    <row r="549" s="34" customFormat="1" ht="12" customHeight="1"/>
    <row r="550" s="34" customFormat="1" ht="12" customHeight="1"/>
    <row r="551" s="34" customFormat="1" ht="12" customHeight="1"/>
    <row r="552" s="34" customFormat="1" ht="12" customHeight="1"/>
    <row r="553" s="34" customFormat="1" ht="12" customHeight="1"/>
    <row r="554" s="34" customFormat="1" ht="12" customHeight="1"/>
    <row r="555" s="34" customFormat="1" ht="12" customHeight="1"/>
    <row r="556" s="34" customFormat="1" ht="12" customHeight="1"/>
    <row r="557" s="34" customFormat="1" ht="12" customHeight="1"/>
    <row r="558" s="34" customFormat="1" ht="12" customHeight="1"/>
    <row r="559" s="34" customFormat="1" ht="12" customHeight="1"/>
    <row r="560" s="34" customFormat="1" ht="12" customHeight="1"/>
    <row r="561" s="34" customFormat="1" ht="12" customHeight="1"/>
    <row r="562" s="34" customFormat="1" ht="12" customHeight="1"/>
    <row r="563" s="34" customFormat="1" ht="12" customHeight="1"/>
    <row r="564" s="34" customFormat="1" ht="12" customHeight="1"/>
    <row r="565" s="34" customFormat="1" ht="12" customHeight="1"/>
    <row r="566" s="34" customFormat="1" ht="12" customHeight="1"/>
    <row r="567" s="34" customFormat="1" ht="12" customHeight="1"/>
    <row r="568" s="34" customFormat="1" ht="12" customHeight="1"/>
    <row r="569" s="34" customFormat="1" ht="12" customHeight="1"/>
    <row r="570" s="34" customFormat="1" ht="12" customHeight="1"/>
    <row r="571" s="34" customFormat="1" ht="12" customHeight="1"/>
    <row r="572" s="34" customFormat="1" ht="12" customHeight="1"/>
    <row r="573" s="34" customFormat="1" ht="12" customHeight="1"/>
    <row r="574" s="34" customFormat="1" ht="12" customHeight="1"/>
    <row r="575" s="34" customFormat="1" ht="12" customHeight="1"/>
    <row r="576" s="34" customFormat="1" ht="12" customHeight="1"/>
    <row r="577" s="34" customFormat="1" ht="12" customHeight="1"/>
    <row r="578" s="34" customFormat="1" ht="12" customHeight="1"/>
    <row r="579" s="34" customFormat="1" ht="12" customHeight="1"/>
    <row r="580" s="34" customFormat="1" ht="12" customHeight="1"/>
    <row r="581" s="34" customFormat="1" ht="12" customHeight="1"/>
    <row r="582" s="34" customFormat="1" ht="12" customHeight="1"/>
    <row r="583" s="34" customFormat="1" ht="12" customHeight="1"/>
    <row r="584" s="34" customFormat="1" ht="12" customHeight="1"/>
    <row r="585" s="34" customFormat="1" ht="12" customHeight="1"/>
    <row r="586" s="34" customFormat="1" ht="12" customHeight="1"/>
    <row r="587" s="34" customFormat="1" ht="12" customHeight="1"/>
    <row r="588" s="34" customFormat="1" ht="12" customHeight="1"/>
    <row r="589" s="34" customFormat="1" ht="12" customHeight="1"/>
    <row r="590" s="34" customFormat="1" ht="12" customHeight="1"/>
    <row r="591" s="34" customFormat="1" ht="12" customHeight="1"/>
    <row r="592" s="34" customFormat="1" ht="12" customHeight="1"/>
    <row r="593" s="34" customFormat="1" ht="12" customHeight="1"/>
    <row r="594" s="34" customFormat="1" ht="12" customHeight="1"/>
    <row r="595" s="34" customFormat="1" ht="12" customHeight="1"/>
    <row r="596" s="34" customFormat="1" ht="12" customHeight="1"/>
    <row r="597" s="34" customFormat="1" ht="12" customHeight="1"/>
    <row r="598" s="34" customFormat="1" ht="12" customHeight="1"/>
    <row r="599" s="34" customFormat="1" ht="12" customHeight="1"/>
    <row r="600" s="34" customFormat="1" ht="12" customHeight="1"/>
    <row r="601" s="34" customFormat="1" ht="12" customHeight="1"/>
    <row r="602" s="34" customFormat="1" ht="12" customHeight="1"/>
    <row r="603" s="34" customFormat="1" ht="12" customHeight="1"/>
    <row r="604" s="34" customFormat="1" ht="12" customHeight="1"/>
    <row r="605" s="34" customFormat="1" ht="12" customHeight="1"/>
  </sheetData>
  <sheetProtection/>
  <printOptions horizontalCentered="1"/>
  <pageMargins left="0.5" right="0.5" top="0.5" bottom="0.5" header="0" footer="0.25"/>
  <pageSetup firstPageNumber="28" useFirstPageNumber="1" fitToHeight="2" fitToWidth="2" horizontalDpi="600" verticalDpi="600" orientation="portrait" pageOrder="overThenDown" scale="90" r:id="rId1"/>
  <headerFooter scaleWithDoc="0" alignWithMargins="0">
    <oddFooter>&amp;C&amp;"Times New Roman,Regular"&amp;11&amp;P</oddFooter>
  </headerFooter>
  <rowBreaks count="1" manualBreakCount="1">
    <brk id="8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IU109"/>
  <sheetViews>
    <sheetView zoomScalePageLayoutView="0" workbookViewId="0" topLeftCell="A1">
      <pane xSplit="1" ySplit="8" topLeftCell="B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V44" sqref="V44:V46"/>
    </sheetView>
  </sheetViews>
  <sheetFormatPr defaultColWidth="9.140625" defaultRowHeight="12" customHeight="1"/>
  <cols>
    <col min="1" max="1" width="15.7109375" style="73" customWidth="1"/>
    <col min="2" max="2" width="1.7109375" style="73" customWidth="1"/>
    <col min="3" max="3" width="11.7109375" style="73" customWidth="1"/>
    <col min="4" max="4" width="1.7109375" style="73" customWidth="1"/>
    <col min="5" max="5" width="11.7109375" style="73" customWidth="1"/>
    <col min="6" max="6" width="1.7109375" style="73" customWidth="1"/>
    <col min="7" max="7" width="11.7109375" style="73" customWidth="1"/>
    <col min="8" max="8" width="1.7109375" style="73" customWidth="1"/>
    <col min="9" max="9" width="11.7109375" style="73" customWidth="1"/>
    <col min="10" max="10" width="1.7109375" style="73" customWidth="1"/>
    <col min="11" max="11" width="11.7109375" style="73" customWidth="1"/>
    <col min="12" max="12" width="1.7109375" style="73" hidden="1" customWidth="1"/>
    <col min="13" max="13" width="12.7109375" style="73" customWidth="1"/>
    <col min="14" max="14" width="1.7109375" style="73" customWidth="1"/>
    <col min="15" max="15" width="12.7109375" style="73" customWidth="1"/>
    <col min="16" max="16" width="1.7109375" style="73" customWidth="1"/>
    <col min="17" max="17" width="12.7109375" style="73" customWidth="1"/>
    <col min="18" max="18" width="10.140625" style="28" bestFit="1" customWidth="1"/>
    <col min="19" max="19" width="13.28125" style="28" bestFit="1" customWidth="1"/>
    <col min="20" max="16384" width="9.140625" style="28" customWidth="1"/>
  </cols>
  <sheetData>
    <row r="1" spans="1:18" s="70" customFormat="1" ht="12.75" customHeight="1">
      <c r="A1" s="63" t="s">
        <v>202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4"/>
    </row>
    <row r="2" spans="1:18" s="70" customFormat="1" ht="12.75" customHeight="1">
      <c r="A2" s="63" t="s">
        <v>251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4"/>
    </row>
    <row r="3" spans="1:18" s="70" customFormat="1" ht="12.75" customHeight="1">
      <c r="A3" s="49" t="s">
        <v>247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4"/>
    </row>
    <row r="4" spans="1:18" ht="12.75" customHeight="1">
      <c r="A4" s="57" t="s">
        <v>183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36"/>
    </row>
    <row r="5" spans="1:18" ht="12.75" customHeight="1">
      <c r="A5" s="5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6"/>
    </row>
    <row r="6" spans="1:19" ht="12.75" customHeight="1">
      <c r="A6" s="5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6"/>
      <c r="S6" s="91" t="s">
        <v>105</v>
      </c>
    </row>
    <row r="7" spans="1:19" ht="12.75" customHeight="1">
      <c r="A7" s="19"/>
      <c r="B7" s="19"/>
      <c r="C7" s="19" t="s">
        <v>147</v>
      </c>
      <c r="D7" s="19"/>
      <c r="E7" s="19" t="s">
        <v>166</v>
      </c>
      <c r="F7" s="19"/>
      <c r="G7" s="19" t="s">
        <v>105</v>
      </c>
      <c r="H7" s="19"/>
      <c r="I7" s="19" t="s">
        <v>0</v>
      </c>
      <c r="J7" s="19"/>
      <c r="K7" s="19" t="s">
        <v>1</v>
      </c>
      <c r="L7" s="19"/>
      <c r="M7" s="19" t="s">
        <v>2</v>
      </c>
      <c r="N7" s="19"/>
      <c r="O7" s="19" t="s">
        <v>3</v>
      </c>
      <c r="P7" s="19"/>
      <c r="Q7" s="19" t="s">
        <v>4</v>
      </c>
      <c r="R7" s="36"/>
      <c r="S7" s="91" t="s">
        <v>208</v>
      </c>
    </row>
    <row r="8" spans="1:255" ht="12.75" customHeight="1">
      <c r="A8" s="53" t="s">
        <v>5</v>
      </c>
      <c r="B8" s="19"/>
      <c r="C8" s="53" t="s">
        <v>227</v>
      </c>
      <c r="D8" s="23"/>
      <c r="E8" s="53" t="s">
        <v>6</v>
      </c>
      <c r="F8" s="23"/>
      <c r="G8" s="53" t="s">
        <v>6</v>
      </c>
      <c r="H8" s="23"/>
      <c r="I8" s="53" t="s">
        <v>8</v>
      </c>
      <c r="J8" s="23"/>
      <c r="K8" s="53" t="s">
        <v>9</v>
      </c>
      <c r="L8" s="23"/>
      <c r="M8" s="53" t="s">
        <v>10</v>
      </c>
      <c r="N8" s="23"/>
      <c r="O8" s="53" t="s">
        <v>11</v>
      </c>
      <c r="P8" s="23"/>
      <c r="Q8" s="53" t="s">
        <v>12</v>
      </c>
      <c r="R8" s="43"/>
      <c r="S8" s="71" t="s">
        <v>209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ht="12.75" customHeight="1">
      <c r="A9" s="19"/>
      <c r="B9" s="19"/>
      <c r="C9" s="19"/>
      <c r="D9" s="23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43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</row>
    <row r="10" spans="1:255" ht="12.75" customHeight="1" hidden="1">
      <c r="A10" s="89" t="s">
        <v>235</v>
      </c>
      <c r="B10" s="19"/>
      <c r="C10" s="47">
        <v>7271621</v>
      </c>
      <c r="D10" s="47"/>
      <c r="E10" s="47">
        <v>0</v>
      </c>
      <c r="F10" s="47"/>
      <c r="G10" s="47">
        <v>0</v>
      </c>
      <c r="H10" s="47"/>
      <c r="I10" s="47">
        <v>2932858</v>
      </c>
      <c r="J10" s="47"/>
      <c r="K10" s="47">
        <v>12329088</v>
      </c>
      <c r="L10" s="47"/>
      <c r="M10" s="47">
        <v>14582</v>
      </c>
      <c r="N10" s="46"/>
      <c r="O10" s="46">
        <f>Q10-C10-E10-G10-I10-K10-M10</f>
        <v>1300026</v>
      </c>
      <c r="P10" s="46"/>
      <c r="Q10" s="47">
        <v>23848175</v>
      </c>
      <c r="R10" s="43"/>
      <c r="S10" s="47">
        <f>513137+64606+195784</f>
        <v>773527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  <c r="IU10" s="71"/>
    </row>
    <row r="11" spans="1:255" ht="12.75" customHeight="1">
      <c r="A11" s="32" t="s">
        <v>13</v>
      </c>
      <c r="B11" s="32"/>
      <c r="C11" s="47">
        <v>10860016</v>
      </c>
      <c r="D11" s="47"/>
      <c r="E11" s="47">
        <v>14508856</v>
      </c>
      <c r="F11" s="47"/>
      <c r="G11" s="47">
        <v>2931374</v>
      </c>
      <c r="H11" s="47"/>
      <c r="I11" s="47">
        <v>8454370</v>
      </c>
      <c r="J11" s="47"/>
      <c r="K11" s="47">
        <v>35203570</v>
      </c>
      <c r="L11" s="47"/>
      <c r="M11" s="47">
        <v>1614393</v>
      </c>
      <c r="N11" s="46"/>
      <c r="O11" s="46">
        <f>Q11-C11-E11-G11-I11-K11-M11</f>
        <v>6101968</v>
      </c>
      <c r="P11" s="46"/>
      <c r="Q11" s="47">
        <v>79674547</v>
      </c>
      <c r="R11" s="43"/>
      <c r="S11" s="47">
        <f>40276+4555238+2320000+855544</f>
        <v>7771058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</row>
    <row r="12" spans="1:255" ht="12.75" customHeight="1">
      <c r="A12" s="32" t="s">
        <v>14</v>
      </c>
      <c r="B12" s="32"/>
      <c r="C12" s="30">
        <v>6728048</v>
      </c>
      <c r="D12" s="30"/>
      <c r="E12" s="30">
        <v>6350127</v>
      </c>
      <c r="F12" s="30"/>
      <c r="G12" s="30">
        <v>179958</v>
      </c>
      <c r="H12" s="30"/>
      <c r="I12" s="30">
        <v>2775215</v>
      </c>
      <c r="J12" s="30"/>
      <c r="K12" s="30">
        <v>18564809</v>
      </c>
      <c r="L12" s="30"/>
      <c r="M12" s="30">
        <v>0</v>
      </c>
      <c r="N12" s="16"/>
      <c r="O12" s="16">
        <f>Q12-C12-E12-G12-I12-K12-M12</f>
        <v>1674696</v>
      </c>
      <c r="P12" s="16"/>
      <c r="Q12" s="30">
        <v>36272853</v>
      </c>
      <c r="R12" s="43"/>
      <c r="S12" s="30">
        <f>2265000+669483</f>
        <v>2934483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</row>
    <row r="13" spans="1:255" ht="12.75" customHeight="1">
      <c r="A13" s="32" t="s">
        <v>15</v>
      </c>
      <c r="B13" s="32"/>
      <c r="C13" s="30">
        <v>14677835</v>
      </c>
      <c r="D13" s="30"/>
      <c r="E13" s="30">
        <v>8928466</v>
      </c>
      <c r="F13" s="30"/>
      <c r="G13" s="30">
        <v>0</v>
      </c>
      <c r="H13" s="30"/>
      <c r="I13" s="30">
        <v>11785638</v>
      </c>
      <c r="J13" s="30"/>
      <c r="K13" s="30">
        <v>52588554</v>
      </c>
      <c r="L13" s="30"/>
      <c r="M13" s="30">
        <v>199155</v>
      </c>
      <c r="N13" s="16"/>
      <c r="O13" s="16">
        <f aca="true" t="shared" si="0" ref="O13:O71">Q13-C13-E13-G13-I13-K13-M13</f>
        <v>2899289</v>
      </c>
      <c r="P13" s="16"/>
      <c r="Q13" s="30">
        <v>91078937</v>
      </c>
      <c r="R13" s="43"/>
      <c r="S13" s="30">
        <f>135523+9422+1671477</f>
        <v>1816422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</row>
    <row r="14" spans="1:255" ht="12.75" customHeight="1" hidden="1">
      <c r="A14" s="32" t="s">
        <v>16</v>
      </c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6"/>
      <c r="O14" s="16">
        <f t="shared" si="0"/>
        <v>0</v>
      </c>
      <c r="P14" s="16"/>
      <c r="Q14" s="30"/>
      <c r="R14" s="43"/>
      <c r="S14" s="30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</row>
    <row r="15" spans="1:255" ht="12.75" customHeight="1">
      <c r="A15" s="32" t="s">
        <v>17</v>
      </c>
      <c r="B15" s="32"/>
      <c r="C15" s="30">
        <v>5430463</v>
      </c>
      <c r="D15" s="30"/>
      <c r="E15" s="30">
        <v>7792771</v>
      </c>
      <c r="F15" s="30"/>
      <c r="G15" s="30">
        <v>0</v>
      </c>
      <c r="H15" s="30"/>
      <c r="I15" s="30">
        <v>3275168</v>
      </c>
      <c r="J15" s="30"/>
      <c r="K15" s="30">
        <v>10267077</v>
      </c>
      <c r="L15" s="30"/>
      <c r="M15" s="30">
        <v>1629911</v>
      </c>
      <c r="N15" s="16"/>
      <c r="O15" s="16">
        <f t="shared" si="0"/>
        <v>1655541</v>
      </c>
      <c r="P15" s="16"/>
      <c r="Q15" s="30">
        <v>30050931</v>
      </c>
      <c r="R15" s="43"/>
      <c r="S15" s="30">
        <f>42693+25860+181019+792171</f>
        <v>1041743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ht="12.75" customHeight="1">
      <c r="A16" s="32" t="s">
        <v>18</v>
      </c>
      <c r="B16" s="32"/>
      <c r="C16" s="30">
        <v>10396694</v>
      </c>
      <c r="D16" s="30"/>
      <c r="E16" s="30">
        <v>11904165</v>
      </c>
      <c r="F16" s="30"/>
      <c r="G16" s="30">
        <v>417250</v>
      </c>
      <c r="H16" s="30"/>
      <c r="I16" s="30">
        <v>5608421</v>
      </c>
      <c r="J16" s="30"/>
      <c r="K16" s="30">
        <v>21478820</v>
      </c>
      <c r="L16" s="30"/>
      <c r="M16" s="30">
        <v>0</v>
      </c>
      <c r="N16" s="16"/>
      <c r="O16" s="16">
        <f t="shared" si="0"/>
        <v>3448247</v>
      </c>
      <c r="P16" s="16"/>
      <c r="Q16" s="30">
        <v>53253597</v>
      </c>
      <c r="R16" s="43"/>
      <c r="S16" s="30">
        <f>30142+74460+1406803</f>
        <v>1511405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ht="12.75" customHeight="1" hidden="1">
      <c r="A17" s="32" t="s">
        <v>238</v>
      </c>
      <c r="B17" s="3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6"/>
      <c r="O17" s="16">
        <f t="shared" si="0"/>
        <v>0</v>
      </c>
      <c r="P17" s="16"/>
      <c r="Q17" s="30"/>
      <c r="R17" s="43"/>
      <c r="S17" s="3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ht="12.75" customHeight="1">
      <c r="A18" s="32" t="s">
        <v>236</v>
      </c>
      <c r="B18" s="32"/>
      <c r="C18" s="30">
        <v>60757076</v>
      </c>
      <c r="D18" s="30"/>
      <c r="E18" s="30">
        <v>33161633</v>
      </c>
      <c r="F18" s="30"/>
      <c r="G18" s="30">
        <v>2476974</v>
      </c>
      <c r="H18" s="30"/>
      <c r="I18" s="30">
        <v>38375831</v>
      </c>
      <c r="J18" s="30"/>
      <c r="K18" s="30">
        <v>104897294</v>
      </c>
      <c r="L18" s="30"/>
      <c r="M18" s="30">
        <v>2256471</v>
      </c>
      <c r="N18" s="16"/>
      <c r="O18" s="16">
        <f t="shared" si="0"/>
        <v>20138858</v>
      </c>
      <c r="P18" s="16"/>
      <c r="Q18" s="30">
        <v>262064137</v>
      </c>
      <c r="R18" s="43"/>
      <c r="S18" s="30">
        <f>368646+35754+11983359</f>
        <v>12387759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ht="12.75" customHeight="1">
      <c r="A19" s="32" t="s">
        <v>20</v>
      </c>
      <c r="B19" s="32"/>
      <c r="C19" s="30">
        <v>3860406</v>
      </c>
      <c r="D19" s="30"/>
      <c r="E19" s="30">
        <v>2009558</v>
      </c>
      <c r="F19" s="30"/>
      <c r="G19" s="30">
        <v>0</v>
      </c>
      <c r="H19" s="30"/>
      <c r="I19" s="30">
        <v>3873242</v>
      </c>
      <c r="J19" s="30"/>
      <c r="K19" s="30">
        <v>11966888</v>
      </c>
      <c r="L19" s="30"/>
      <c r="M19" s="30">
        <v>0</v>
      </c>
      <c r="N19" s="16"/>
      <c r="O19" s="16">
        <f t="shared" si="0"/>
        <v>860070</v>
      </c>
      <c r="P19" s="16"/>
      <c r="Q19" s="30">
        <v>22570164</v>
      </c>
      <c r="R19" s="43"/>
      <c r="S19" s="30">
        <f>6727+4855+13225</f>
        <v>24807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ht="12.75" customHeight="1" hidden="1">
      <c r="A20" s="23" t="s">
        <v>172</v>
      </c>
      <c r="B20" s="23"/>
      <c r="C20" s="30"/>
      <c r="D20" s="30"/>
      <c r="E20" s="30"/>
      <c r="F20" s="30"/>
      <c r="G20" s="30">
        <v>0</v>
      </c>
      <c r="H20" s="30"/>
      <c r="I20" s="30"/>
      <c r="J20" s="30"/>
      <c r="K20" s="30"/>
      <c r="L20" s="30"/>
      <c r="M20" s="30"/>
      <c r="N20" s="16"/>
      <c r="O20" s="16">
        <f t="shared" si="0"/>
        <v>0</v>
      </c>
      <c r="P20" s="16"/>
      <c r="Q20" s="30"/>
      <c r="R20" s="43"/>
      <c r="S20" s="30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ht="12.75" customHeight="1">
      <c r="A21" s="32" t="s">
        <v>21</v>
      </c>
      <c r="B21" s="32"/>
      <c r="C21" s="30">
        <v>17573982</v>
      </c>
      <c r="D21" s="30"/>
      <c r="E21" s="30">
        <v>20374885</v>
      </c>
      <c r="F21" s="30"/>
      <c r="G21" s="30">
        <v>0</v>
      </c>
      <c r="H21" s="30"/>
      <c r="I21" s="30">
        <v>14227466</v>
      </c>
      <c r="J21" s="30"/>
      <c r="K21" s="30">
        <v>52956685</v>
      </c>
      <c r="L21" s="30"/>
      <c r="M21" s="30">
        <v>191640</v>
      </c>
      <c r="N21" s="16"/>
      <c r="O21" s="16">
        <f t="shared" si="0"/>
        <v>5398349</v>
      </c>
      <c r="P21" s="16"/>
      <c r="Q21" s="30">
        <v>110723007</v>
      </c>
      <c r="R21" s="43"/>
      <c r="S21" s="142">
        <f>6980+4046797</f>
        <v>4053777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ht="12.75" customHeight="1">
      <c r="A22" s="32" t="s">
        <v>180</v>
      </c>
      <c r="B22" s="32"/>
      <c r="C22" s="30">
        <v>20932819</v>
      </c>
      <c r="D22" s="30"/>
      <c r="E22" s="30">
        <v>23379925</v>
      </c>
      <c r="F22" s="30"/>
      <c r="G22" s="30">
        <v>0</v>
      </c>
      <c r="H22" s="30"/>
      <c r="I22" s="30">
        <v>20717968</v>
      </c>
      <c r="J22" s="30"/>
      <c r="K22" s="30">
        <v>36078487</v>
      </c>
      <c r="L22" s="30"/>
      <c r="M22" s="30">
        <v>981734</v>
      </c>
      <c r="N22" s="16"/>
      <c r="O22" s="16">
        <f t="shared" si="0"/>
        <v>9203342</v>
      </c>
      <c r="P22" s="16"/>
      <c r="Q22" s="30">
        <v>111294275</v>
      </c>
      <c r="R22" s="43"/>
      <c r="S22" s="30">
        <f>6397433+5130000+78332</f>
        <v>11605765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ht="12.75" customHeight="1">
      <c r="A23" s="32" t="s">
        <v>22</v>
      </c>
      <c r="B23" s="32"/>
      <c r="C23" s="30">
        <v>7426622</v>
      </c>
      <c r="D23" s="30"/>
      <c r="E23" s="30">
        <v>6656238</v>
      </c>
      <c r="F23" s="30"/>
      <c r="G23" s="30">
        <v>0</v>
      </c>
      <c r="H23" s="30"/>
      <c r="I23" s="30">
        <v>2754578</v>
      </c>
      <c r="J23" s="30"/>
      <c r="K23" s="30">
        <v>13931085</v>
      </c>
      <c r="L23" s="30"/>
      <c r="M23" s="30">
        <v>151733</v>
      </c>
      <c r="N23" s="16"/>
      <c r="O23" s="16">
        <f t="shared" si="0"/>
        <v>3288220</v>
      </c>
      <c r="P23" s="16"/>
      <c r="Q23" s="30">
        <v>34208476</v>
      </c>
      <c r="R23" s="43"/>
      <c r="S23" s="30">
        <f>190000+14214+1932+1630847+1914046+1075988</f>
        <v>4827027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ht="12.75" customHeight="1" hidden="1">
      <c r="A24" s="32" t="s">
        <v>23</v>
      </c>
      <c r="B24" s="32"/>
      <c r="C24" s="30">
        <v>8822939</v>
      </c>
      <c r="D24" s="30"/>
      <c r="E24" s="30">
        <v>13185196</v>
      </c>
      <c r="F24" s="30"/>
      <c r="G24" s="30">
        <v>0</v>
      </c>
      <c r="H24" s="30"/>
      <c r="I24" s="30">
        <v>6234628</v>
      </c>
      <c r="J24" s="30"/>
      <c r="K24" s="30">
        <v>43679330</v>
      </c>
      <c r="L24" s="30"/>
      <c r="M24" s="30"/>
      <c r="N24" s="16"/>
      <c r="O24" s="16">
        <f t="shared" si="0"/>
        <v>2536167</v>
      </c>
      <c r="P24" s="16"/>
      <c r="Q24" s="30">
        <v>74458260</v>
      </c>
      <c r="R24" s="43"/>
      <c r="S24" s="30">
        <f>260518+1832463+101694</f>
        <v>2194675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ht="12.75" customHeight="1">
      <c r="A25" s="32" t="s">
        <v>24</v>
      </c>
      <c r="B25" s="32"/>
      <c r="C25" s="30">
        <v>6646823</v>
      </c>
      <c r="D25" s="30"/>
      <c r="E25" s="30">
        <v>4460643</v>
      </c>
      <c r="F25" s="30"/>
      <c r="G25" s="30">
        <v>0</v>
      </c>
      <c r="H25" s="30"/>
      <c r="I25" s="30">
        <v>5860523</v>
      </c>
      <c r="J25" s="30"/>
      <c r="K25" s="30">
        <v>17184012</v>
      </c>
      <c r="L25" s="30"/>
      <c r="M25" s="30">
        <v>0</v>
      </c>
      <c r="N25" s="16"/>
      <c r="O25" s="16">
        <f t="shared" si="0"/>
        <v>1822117</v>
      </c>
      <c r="P25" s="16"/>
      <c r="Q25" s="30">
        <v>35974118</v>
      </c>
      <c r="R25" s="43"/>
      <c r="S25" s="30">
        <f>640000+280810+553014+260077+9373</f>
        <v>1743274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ht="12.75" customHeight="1">
      <c r="A26" s="32" t="s">
        <v>241</v>
      </c>
      <c r="B26" s="32"/>
      <c r="C26" s="30">
        <v>6412708</v>
      </c>
      <c r="D26" s="30"/>
      <c r="E26" s="30">
        <v>4788146</v>
      </c>
      <c r="F26" s="30"/>
      <c r="G26" s="30">
        <v>0</v>
      </c>
      <c r="H26" s="30"/>
      <c r="I26" s="30">
        <v>13182703</v>
      </c>
      <c r="J26" s="30"/>
      <c r="K26" s="30">
        <v>15763128</v>
      </c>
      <c r="L26" s="30"/>
      <c r="M26" s="30">
        <v>64658</v>
      </c>
      <c r="N26" s="16"/>
      <c r="O26" s="16">
        <f t="shared" si="0"/>
        <v>2189984</v>
      </c>
      <c r="P26" s="16"/>
      <c r="Q26" s="30">
        <v>42401327</v>
      </c>
      <c r="R26" s="43"/>
      <c r="S26" s="30">
        <v>1781789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ht="12.75" customHeight="1" hidden="1">
      <c r="A27" s="32" t="s">
        <v>25</v>
      </c>
      <c r="B27" s="32"/>
      <c r="C27" s="30"/>
      <c r="D27" s="30"/>
      <c r="E27" s="30"/>
      <c r="F27" s="30"/>
      <c r="G27" s="30">
        <v>0</v>
      </c>
      <c r="H27" s="30"/>
      <c r="I27" s="30"/>
      <c r="J27" s="30"/>
      <c r="K27" s="30"/>
      <c r="L27" s="30"/>
      <c r="M27" s="30"/>
      <c r="N27" s="16"/>
      <c r="O27" s="16">
        <f t="shared" si="0"/>
        <v>0</v>
      </c>
      <c r="P27" s="16"/>
      <c r="Q27" s="30"/>
      <c r="R27" s="43"/>
      <c r="S27" s="30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ht="12.75" customHeight="1" hidden="1">
      <c r="A28" s="32" t="s">
        <v>26</v>
      </c>
      <c r="B28" s="32"/>
      <c r="C28" s="30">
        <v>4927892</v>
      </c>
      <c r="D28" s="30"/>
      <c r="E28" s="30">
        <v>4761750</v>
      </c>
      <c r="F28" s="30"/>
      <c r="G28" s="30">
        <v>0</v>
      </c>
      <c r="H28" s="30"/>
      <c r="I28" s="30">
        <v>5975662</v>
      </c>
      <c r="J28" s="30"/>
      <c r="K28" s="30">
        <v>16492438</v>
      </c>
      <c r="L28" s="30"/>
      <c r="M28" s="30">
        <v>270765</v>
      </c>
      <c r="N28" s="16"/>
      <c r="O28" s="16">
        <f t="shared" si="0"/>
        <v>4199800</v>
      </c>
      <c r="P28" s="16"/>
      <c r="Q28" s="30">
        <v>36628307</v>
      </c>
      <c r="R28" s="43"/>
      <c r="S28" s="30">
        <f>139401+732000+436+695759+1841257</f>
        <v>3408853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ht="12.75" customHeight="1">
      <c r="A29" s="32" t="s">
        <v>27</v>
      </c>
      <c r="B29" s="32"/>
      <c r="C29" s="30">
        <v>4448457</v>
      </c>
      <c r="D29" s="30"/>
      <c r="E29" s="30">
        <v>4926306</v>
      </c>
      <c r="F29" s="30"/>
      <c r="G29" s="30">
        <v>0</v>
      </c>
      <c r="H29" s="30"/>
      <c r="I29" s="30">
        <v>2132025</v>
      </c>
      <c r="J29" s="30"/>
      <c r="K29" s="30">
        <v>18357442</v>
      </c>
      <c r="L29" s="30"/>
      <c r="M29" s="30">
        <v>654253</v>
      </c>
      <c r="N29" s="16"/>
      <c r="O29" s="16">
        <f t="shared" si="0"/>
        <v>2927681</v>
      </c>
      <c r="P29" s="16"/>
      <c r="Q29" s="30">
        <v>33446164</v>
      </c>
      <c r="R29" s="43"/>
      <c r="S29" s="30">
        <f>935+233177+344300+1520139</f>
        <v>2098551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ht="12.75" customHeight="1">
      <c r="A30" s="32" t="s">
        <v>28</v>
      </c>
      <c r="B30" s="32"/>
      <c r="C30" s="30">
        <v>25422253</v>
      </c>
      <c r="D30" s="30"/>
      <c r="E30" s="30">
        <v>41361429</v>
      </c>
      <c r="F30" s="30"/>
      <c r="G30" s="30">
        <v>0</v>
      </c>
      <c r="H30" s="30"/>
      <c r="I30" s="30">
        <v>17652681</v>
      </c>
      <c r="J30" s="30"/>
      <c r="K30" s="30">
        <v>25399196</v>
      </c>
      <c r="L30" s="30"/>
      <c r="M30" s="30">
        <v>948898</v>
      </c>
      <c r="N30" s="16"/>
      <c r="O30" s="16">
        <f t="shared" si="0"/>
        <v>6215814</v>
      </c>
      <c r="P30" s="16"/>
      <c r="Q30" s="30">
        <v>117000271</v>
      </c>
      <c r="R30" s="43"/>
      <c r="S30" s="30">
        <f>5132+16000+16962132</f>
        <v>16983264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ht="12.75" customHeight="1">
      <c r="A31" s="32" t="s">
        <v>29</v>
      </c>
      <c r="B31" s="32"/>
      <c r="C31" s="30">
        <v>9398307</v>
      </c>
      <c r="D31" s="30"/>
      <c r="E31" s="30">
        <v>13369498</v>
      </c>
      <c r="F31" s="30"/>
      <c r="G31" s="30">
        <v>0</v>
      </c>
      <c r="H31" s="30"/>
      <c r="I31" s="30">
        <v>7446397</v>
      </c>
      <c r="J31" s="30"/>
      <c r="K31" s="30">
        <v>22967563</v>
      </c>
      <c r="L31" s="30"/>
      <c r="M31" s="30">
        <v>753948</v>
      </c>
      <c r="N31" s="16"/>
      <c r="O31" s="16">
        <f t="shared" si="0"/>
        <v>6239099</v>
      </c>
      <c r="P31" s="16"/>
      <c r="Q31" s="30">
        <v>60174812</v>
      </c>
      <c r="R31" s="43"/>
      <c r="S31" s="30">
        <f>2200000+3643+4148076</f>
        <v>6351719</v>
      </c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ht="12.75" customHeight="1">
      <c r="A32" s="32" t="s">
        <v>30</v>
      </c>
      <c r="B32" s="32"/>
      <c r="C32" s="30">
        <v>22649542</v>
      </c>
      <c r="D32" s="30"/>
      <c r="E32" s="30">
        <v>16824829</v>
      </c>
      <c r="F32" s="30"/>
      <c r="G32" s="30">
        <v>156022</v>
      </c>
      <c r="H32" s="30"/>
      <c r="I32" s="30">
        <v>14131437</v>
      </c>
      <c r="J32" s="30"/>
      <c r="K32" s="30">
        <v>39734038</v>
      </c>
      <c r="L32" s="30"/>
      <c r="M32" s="30">
        <v>318100</v>
      </c>
      <c r="N32" s="16"/>
      <c r="O32" s="16">
        <f t="shared" si="0"/>
        <v>6122821</v>
      </c>
      <c r="P32" s="16"/>
      <c r="Q32" s="30">
        <v>99936789</v>
      </c>
      <c r="R32" s="43"/>
      <c r="S32" s="30">
        <f>67275+45000+10268+4393330</f>
        <v>4515873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ht="12.75" customHeight="1" hidden="1">
      <c r="A33" s="32" t="s">
        <v>237</v>
      </c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6"/>
      <c r="O33" s="16">
        <f t="shared" si="0"/>
        <v>0</v>
      </c>
      <c r="P33" s="16"/>
      <c r="Q33" s="30"/>
      <c r="R33" s="43"/>
      <c r="S33" s="3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ht="12.75" customHeight="1">
      <c r="A34" s="32" t="s">
        <v>32</v>
      </c>
      <c r="B34" s="32"/>
      <c r="C34" s="30">
        <v>399464000</v>
      </c>
      <c r="D34" s="30"/>
      <c r="E34" s="30">
        <v>137115000</v>
      </c>
      <c r="F34" s="30"/>
      <c r="G34" s="30">
        <v>0</v>
      </c>
      <c r="H34" s="30"/>
      <c r="I34" s="30">
        <v>96251000</v>
      </c>
      <c r="J34" s="30"/>
      <c r="K34" s="30">
        <v>393559000</v>
      </c>
      <c r="L34" s="30"/>
      <c r="M34" s="30">
        <v>0</v>
      </c>
      <c r="N34" s="16"/>
      <c r="O34" s="16">
        <f t="shared" si="0"/>
        <v>50880000</v>
      </c>
      <c r="P34" s="16"/>
      <c r="Q34" s="30">
        <v>1077269000</v>
      </c>
      <c r="R34" s="43"/>
      <c r="S34" s="30">
        <f>34877000+12000000+2095000+24000+22774000+178000</f>
        <v>71948000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ht="12.75" customHeight="1">
      <c r="A35" s="32" t="s">
        <v>33</v>
      </c>
      <c r="B35" s="32"/>
      <c r="C35" s="30">
        <v>6662148</v>
      </c>
      <c r="D35" s="30"/>
      <c r="E35" s="30">
        <v>6664965</v>
      </c>
      <c r="F35" s="30"/>
      <c r="G35" s="30">
        <v>0</v>
      </c>
      <c r="H35" s="30"/>
      <c r="I35" s="30">
        <v>5160767</v>
      </c>
      <c r="J35" s="30"/>
      <c r="K35" s="30">
        <v>13740548</v>
      </c>
      <c r="L35" s="30"/>
      <c r="M35" s="30">
        <v>479973</v>
      </c>
      <c r="N35" s="16"/>
      <c r="O35" s="16">
        <f t="shared" si="0"/>
        <v>3976801</v>
      </c>
      <c r="P35" s="16"/>
      <c r="Q35" s="30">
        <v>36685202</v>
      </c>
      <c r="R35" s="43"/>
      <c r="S35" s="30">
        <f>310155+19474+584909</f>
        <v>914538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ht="12.75" customHeight="1">
      <c r="A36" s="32" t="s">
        <v>34</v>
      </c>
      <c r="B36" s="32"/>
      <c r="C36" s="30">
        <v>3341933</v>
      </c>
      <c r="D36" s="30"/>
      <c r="E36" s="30">
        <v>4251703</v>
      </c>
      <c r="F36" s="30"/>
      <c r="G36" s="30">
        <v>0</v>
      </c>
      <c r="H36" s="30"/>
      <c r="I36" s="30">
        <v>4978333</v>
      </c>
      <c r="J36" s="30"/>
      <c r="K36" s="30">
        <v>17405918</v>
      </c>
      <c r="L36" s="30"/>
      <c r="M36" s="30">
        <v>0</v>
      </c>
      <c r="N36" s="16"/>
      <c r="O36" s="16">
        <f t="shared" si="0"/>
        <v>1319724</v>
      </c>
      <c r="P36" s="16"/>
      <c r="Q36" s="30">
        <v>31297611</v>
      </c>
      <c r="R36" s="43"/>
      <c r="S36" s="30">
        <f>15456+899984+87898+160000+1288424</f>
        <v>2451762</v>
      </c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ht="12.75" customHeight="1">
      <c r="A37" s="32" t="s">
        <v>35</v>
      </c>
      <c r="B37" s="32"/>
      <c r="C37" s="30">
        <v>25804326</v>
      </c>
      <c r="D37" s="30"/>
      <c r="E37" s="30">
        <v>11187156</v>
      </c>
      <c r="F37" s="30"/>
      <c r="G37" s="30">
        <v>449301</v>
      </c>
      <c r="H37" s="30"/>
      <c r="I37" s="30">
        <v>7543608</v>
      </c>
      <c r="J37" s="30"/>
      <c r="K37" s="30">
        <v>33371232</v>
      </c>
      <c r="L37" s="30"/>
      <c r="M37" s="30">
        <v>382403</v>
      </c>
      <c r="N37" s="16"/>
      <c r="O37" s="16">
        <f t="shared" si="0"/>
        <v>3993726</v>
      </c>
      <c r="P37" s="16"/>
      <c r="Q37" s="30">
        <v>82731752</v>
      </c>
      <c r="R37" s="43"/>
      <c r="S37" s="30">
        <f>16460+3756134</f>
        <v>3772594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ht="12.75" customHeight="1">
      <c r="A38" s="32" t="s">
        <v>181</v>
      </c>
      <c r="B38" s="32"/>
      <c r="C38" s="30">
        <v>58253201</v>
      </c>
      <c r="D38" s="30"/>
      <c r="E38" s="30">
        <v>0</v>
      </c>
      <c r="F38" s="30"/>
      <c r="G38" s="30">
        <v>0</v>
      </c>
      <c r="H38" s="30"/>
      <c r="I38" s="30">
        <v>17892322</v>
      </c>
      <c r="J38" s="30"/>
      <c r="K38" s="30">
        <v>36824373</v>
      </c>
      <c r="L38" s="30"/>
      <c r="M38" s="30">
        <v>542998</v>
      </c>
      <c r="N38" s="16"/>
      <c r="O38" s="16">
        <f t="shared" si="0"/>
        <v>6972136</v>
      </c>
      <c r="P38" s="16"/>
      <c r="Q38" s="30">
        <v>120485030</v>
      </c>
      <c r="R38" s="43"/>
      <c r="S38" s="30">
        <f>52231+8000000+3060760</f>
        <v>11112991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ht="12.75" customHeight="1" hidden="1">
      <c r="A39" s="32" t="s">
        <v>242</v>
      </c>
      <c r="B39" s="32"/>
      <c r="C39" s="24"/>
      <c r="D39" s="30"/>
      <c r="E39" s="24"/>
      <c r="F39" s="30"/>
      <c r="G39" s="24"/>
      <c r="H39" s="30"/>
      <c r="I39" s="24"/>
      <c r="J39" s="30"/>
      <c r="K39" s="24"/>
      <c r="L39" s="30"/>
      <c r="M39" s="24"/>
      <c r="N39" s="16"/>
      <c r="O39" s="16">
        <f t="shared" si="0"/>
        <v>0</v>
      </c>
      <c r="P39" s="16"/>
      <c r="Q39" s="24"/>
      <c r="R39" s="43"/>
      <c r="S39" s="24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ht="12.75" customHeight="1" hidden="1">
      <c r="A40" s="32" t="s">
        <v>37</v>
      </c>
      <c r="B40" s="32"/>
      <c r="C40" s="24"/>
      <c r="D40" s="30"/>
      <c r="E40" s="24"/>
      <c r="F40" s="30"/>
      <c r="G40" s="24"/>
      <c r="H40" s="30"/>
      <c r="I40" s="24"/>
      <c r="J40" s="30"/>
      <c r="K40" s="24"/>
      <c r="L40" s="30"/>
      <c r="M40" s="24"/>
      <c r="N40" s="16"/>
      <c r="O40" s="16">
        <f t="shared" si="0"/>
        <v>0</v>
      </c>
      <c r="P40" s="16"/>
      <c r="Q40" s="24"/>
      <c r="R40" s="43"/>
      <c r="S40" s="24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ht="12.75" customHeight="1">
      <c r="A41" s="32" t="s">
        <v>38</v>
      </c>
      <c r="B41" s="32"/>
      <c r="C41" s="24">
        <v>10171635</v>
      </c>
      <c r="D41" s="30"/>
      <c r="E41" s="24">
        <v>11587215</v>
      </c>
      <c r="F41" s="30"/>
      <c r="G41" s="24">
        <f>281109+170315</f>
        <v>451424</v>
      </c>
      <c r="H41" s="30"/>
      <c r="I41" s="24">
        <v>6461598</v>
      </c>
      <c r="J41" s="30"/>
      <c r="K41" s="24">
        <v>25801828</v>
      </c>
      <c r="L41" s="30"/>
      <c r="M41" s="24">
        <v>478763</v>
      </c>
      <c r="N41" s="16"/>
      <c r="O41" s="16">
        <f t="shared" si="0"/>
        <v>3881720</v>
      </c>
      <c r="P41" s="16"/>
      <c r="Q41" s="24">
        <v>58834183</v>
      </c>
      <c r="R41" s="43"/>
      <c r="S41" s="24">
        <v>3642917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ht="12.75" customHeight="1" hidden="1">
      <c r="A42" s="32" t="s">
        <v>167</v>
      </c>
      <c r="B42" s="32"/>
      <c r="C42" s="24"/>
      <c r="D42" s="30"/>
      <c r="E42" s="24"/>
      <c r="F42" s="30"/>
      <c r="G42" s="24"/>
      <c r="H42" s="30"/>
      <c r="I42" s="24"/>
      <c r="J42" s="30"/>
      <c r="K42" s="24"/>
      <c r="L42" s="30"/>
      <c r="M42" s="24"/>
      <c r="N42" s="16"/>
      <c r="O42" s="16">
        <f t="shared" si="0"/>
        <v>0</v>
      </c>
      <c r="P42" s="16"/>
      <c r="Q42" s="24"/>
      <c r="R42" s="43"/>
      <c r="S42" s="24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19" ht="12.75" customHeight="1" hidden="1">
      <c r="A43" s="32" t="s">
        <v>39</v>
      </c>
      <c r="B43" s="32"/>
      <c r="C43" s="24"/>
      <c r="D43" s="30"/>
      <c r="E43" s="24"/>
      <c r="F43" s="30"/>
      <c r="G43" s="24"/>
      <c r="H43" s="30"/>
      <c r="I43" s="24"/>
      <c r="J43" s="30"/>
      <c r="K43" s="24"/>
      <c r="L43" s="30"/>
      <c r="M43" s="24"/>
      <c r="N43" s="16"/>
      <c r="O43" s="16">
        <f t="shared" si="0"/>
        <v>0</v>
      </c>
      <c r="P43" s="16"/>
      <c r="Q43" s="24"/>
      <c r="R43" s="43"/>
      <c r="S43" s="24"/>
    </row>
    <row r="44" spans="1:19" ht="12.75">
      <c r="A44" s="32" t="s">
        <v>40</v>
      </c>
      <c r="B44" s="32"/>
      <c r="C44" s="24">
        <v>6011646</v>
      </c>
      <c r="D44" s="30"/>
      <c r="E44" s="24">
        <v>4015220</v>
      </c>
      <c r="F44" s="30"/>
      <c r="G44" s="24">
        <v>0</v>
      </c>
      <c r="H44" s="30"/>
      <c r="I44" s="24">
        <v>2991707</v>
      </c>
      <c r="J44" s="30"/>
      <c r="K44" s="24">
        <v>14060955</v>
      </c>
      <c r="L44" s="30"/>
      <c r="M44" s="24">
        <v>327588</v>
      </c>
      <c r="N44" s="16"/>
      <c r="O44" s="16">
        <f t="shared" si="0"/>
        <v>2156076</v>
      </c>
      <c r="P44" s="16"/>
      <c r="Q44" s="24">
        <v>29563192</v>
      </c>
      <c r="R44" s="43"/>
      <c r="S44" s="24">
        <v>638016</v>
      </c>
    </row>
    <row r="45" spans="1:19" ht="12.75" customHeight="1" hidden="1">
      <c r="A45" s="32" t="s">
        <v>41</v>
      </c>
      <c r="B45" s="32"/>
      <c r="C45" s="24"/>
      <c r="D45" s="30"/>
      <c r="E45" s="24"/>
      <c r="F45" s="30"/>
      <c r="G45" s="24"/>
      <c r="H45" s="30"/>
      <c r="I45" s="24"/>
      <c r="J45" s="30"/>
      <c r="K45" s="24"/>
      <c r="L45" s="30"/>
      <c r="M45" s="24"/>
      <c r="N45" s="16"/>
      <c r="O45" s="16">
        <f t="shared" si="0"/>
        <v>0</v>
      </c>
      <c r="P45" s="16"/>
      <c r="Q45" s="24"/>
      <c r="R45" s="43"/>
      <c r="S45" s="24"/>
    </row>
    <row r="46" spans="1:19" ht="12.75" customHeight="1">
      <c r="A46" s="32" t="s">
        <v>42</v>
      </c>
      <c r="B46" s="32"/>
      <c r="C46" s="24">
        <v>9036344</v>
      </c>
      <c r="D46" s="142"/>
      <c r="E46" s="24">
        <v>0</v>
      </c>
      <c r="F46" s="142"/>
      <c r="G46" s="24">
        <v>0</v>
      </c>
      <c r="H46" s="142"/>
      <c r="I46" s="24">
        <v>2299501</v>
      </c>
      <c r="J46" s="142"/>
      <c r="K46" s="24">
        <v>13216996</v>
      </c>
      <c r="L46" s="142"/>
      <c r="M46" s="24">
        <v>9040</v>
      </c>
      <c r="N46" s="130"/>
      <c r="O46" s="130">
        <f t="shared" si="0"/>
        <v>2154094</v>
      </c>
      <c r="P46" s="130"/>
      <c r="Q46" s="24">
        <v>26715975</v>
      </c>
      <c r="R46" s="149"/>
      <c r="S46" s="24">
        <f>2127+534455</f>
        <v>536582</v>
      </c>
    </row>
    <row r="47" spans="1:19" ht="12.75" customHeight="1">
      <c r="A47" s="32" t="s">
        <v>43</v>
      </c>
      <c r="B47" s="32"/>
      <c r="C47" s="24">
        <v>5739701</v>
      </c>
      <c r="D47" s="142"/>
      <c r="E47" s="24">
        <v>4901399</v>
      </c>
      <c r="F47" s="142"/>
      <c r="G47" s="24">
        <v>0</v>
      </c>
      <c r="H47" s="142"/>
      <c r="I47" s="24">
        <v>4799185</v>
      </c>
      <c r="J47" s="142"/>
      <c r="K47" s="24">
        <v>13590057</v>
      </c>
      <c r="L47" s="142"/>
      <c r="M47" s="24">
        <v>0</v>
      </c>
      <c r="N47" s="130"/>
      <c r="O47" s="130">
        <f t="shared" si="0"/>
        <v>1711273</v>
      </c>
      <c r="P47" s="130"/>
      <c r="Q47" s="24">
        <v>30741615</v>
      </c>
      <c r="R47" s="149"/>
      <c r="S47" s="24">
        <f>5370000+61186+746162+102780</f>
        <v>6280128</v>
      </c>
    </row>
    <row r="48" spans="1:19" ht="12.75" customHeight="1">
      <c r="A48" s="32" t="s">
        <v>44</v>
      </c>
      <c r="B48" s="32"/>
      <c r="C48" s="24">
        <v>13769179</v>
      </c>
      <c r="D48" s="142"/>
      <c r="E48" s="24">
        <v>0</v>
      </c>
      <c r="F48" s="142"/>
      <c r="G48" s="24">
        <v>0</v>
      </c>
      <c r="H48" s="142"/>
      <c r="I48" s="24">
        <v>4482188</v>
      </c>
      <c r="J48" s="142"/>
      <c r="K48" s="24">
        <v>20662568</v>
      </c>
      <c r="L48" s="142"/>
      <c r="M48" s="24">
        <v>128010</v>
      </c>
      <c r="N48" s="130"/>
      <c r="O48" s="130">
        <f t="shared" si="0"/>
        <v>1401099</v>
      </c>
      <c r="P48" s="130"/>
      <c r="Q48" s="24">
        <v>40443044</v>
      </c>
      <c r="R48" s="149"/>
      <c r="S48" s="24">
        <v>1211257</v>
      </c>
    </row>
    <row r="49" spans="1:19" ht="12.75" customHeight="1" hidden="1">
      <c r="A49" s="32" t="s">
        <v>239</v>
      </c>
      <c r="B49" s="32"/>
      <c r="C49" s="24"/>
      <c r="D49" s="142"/>
      <c r="E49" s="24"/>
      <c r="F49" s="142"/>
      <c r="G49" s="24"/>
      <c r="H49" s="142"/>
      <c r="I49" s="24"/>
      <c r="J49" s="142"/>
      <c r="K49" s="24"/>
      <c r="L49" s="142"/>
      <c r="M49" s="24"/>
      <c r="N49" s="130"/>
      <c r="O49" s="130">
        <f t="shared" si="0"/>
        <v>0</v>
      </c>
      <c r="P49" s="130"/>
      <c r="Q49" s="24"/>
      <c r="R49" s="149"/>
      <c r="S49" s="24"/>
    </row>
    <row r="50" spans="1:19" ht="12.75" customHeight="1">
      <c r="A50" s="32" t="s">
        <v>46</v>
      </c>
      <c r="B50" s="32"/>
      <c r="C50" s="24">
        <v>9369001</v>
      </c>
      <c r="D50" s="142"/>
      <c r="E50" s="24">
        <v>9818075</v>
      </c>
      <c r="F50" s="142"/>
      <c r="G50" s="24">
        <v>0</v>
      </c>
      <c r="H50" s="142"/>
      <c r="I50" s="24">
        <v>6389195</v>
      </c>
      <c r="J50" s="142"/>
      <c r="K50" s="24">
        <v>35741257</v>
      </c>
      <c r="L50" s="142"/>
      <c r="M50" s="24">
        <v>0</v>
      </c>
      <c r="N50" s="130"/>
      <c r="O50" s="130">
        <f t="shared" si="0"/>
        <v>1962644</v>
      </c>
      <c r="P50" s="130"/>
      <c r="Q50" s="24">
        <v>63280172</v>
      </c>
      <c r="R50" s="149"/>
      <c r="S50" s="24">
        <f>3628302+1679585</f>
        <v>5307887</v>
      </c>
    </row>
    <row r="51" spans="1:19" ht="12.75" customHeight="1">
      <c r="A51" s="32" t="s">
        <v>47</v>
      </c>
      <c r="B51" s="32"/>
      <c r="C51" s="24">
        <v>15610959</v>
      </c>
      <c r="D51" s="142"/>
      <c r="E51" s="24">
        <v>0</v>
      </c>
      <c r="F51" s="142"/>
      <c r="G51" s="24">
        <v>0</v>
      </c>
      <c r="H51" s="142"/>
      <c r="I51" s="24">
        <v>3813643</v>
      </c>
      <c r="J51" s="142"/>
      <c r="K51" s="24">
        <v>19747429</v>
      </c>
      <c r="L51" s="142"/>
      <c r="M51" s="24">
        <v>12719</v>
      </c>
      <c r="N51" s="130"/>
      <c r="O51" s="130">
        <f t="shared" si="0"/>
        <v>1985940</v>
      </c>
      <c r="P51" s="130"/>
      <c r="Q51" s="24">
        <v>41170690</v>
      </c>
      <c r="R51" s="149"/>
      <c r="S51" s="24">
        <f>204700+70843+32513+1201605</f>
        <v>1509661</v>
      </c>
    </row>
    <row r="52" spans="1:19" ht="12.75" customHeight="1" hidden="1">
      <c r="A52" s="32" t="s">
        <v>48</v>
      </c>
      <c r="B52" s="32"/>
      <c r="C52" s="24"/>
      <c r="D52" s="142"/>
      <c r="E52" s="24"/>
      <c r="F52" s="142"/>
      <c r="G52" s="24"/>
      <c r="H52" s="142"/>
      <c r="I52" s="24"/>
      <c r="J52" s="142"/>
      <c r="K52" s="24"/>
      <c r="L52" s="142"/>
      <c r="M52" s="24"/>
      <c r="N52" s="130"/>
      <c r="O52" s="130">
        <f t="shared" si="0"/>
        <v>0</v>
      </c>
      <c r="P52" s="130"/>
      <c r="Q52" s="24"/>
      <c r="R52" s="149"/>
      <c r="S52" s="24"/>
    </row>
    <row r="53" spans="1:19" ht="12.75" customHeight="1" hidden="1">
      <c r="A53" s="32" t="s">
        <v>169</v>
      </c>
      <c r="B53" s="32"/>
      <c r="C53" s="24"/>
      <c r="D53" s="142"/>
      <c r="E53" s="24"/>
      <c r="F53" s="142"/>
      <c r="G53" s="24"/>
      <c r="H53" s="142"/>
      <c r="I53" s="24"/>
      <c r="J53" s="142"/>
      <c r="K53" s="24"/>
      <c r="L53" s="142"/>
      <c r="M53" s="24"/>
      <c r="N53" s="130"/>
      <c r="O53" s="130">
        <f t="shared" si="0"/>
        <v>0</v>
      </c>
      <c r="P53" s="130"/>
      <c r="Q53" s="24"/>
      <c r="R53" s="149"/>
      <c r="S53" s="24"/>
    </row>
    <row r="54" spans="1:19" ht="12.75" customHeight="1">
      <c r="A54" s="32" t="s">
        <v>49</v>
      </c>
      <c r="B54" s="32"/>
      <c r="C54" s="24">
        <v>47724359</v>
      </c>
      <c r="D54" s="142"/>
      <c r="E54" s="24">
        <v>0</v>
      </c>
      <c r="F54" s="142"/>
      <c r="G54" s="24">
        <v>0</v>
      </c>
      <c r="H54" s="142"/>
      <c r="I54" s="24">
        <v>11925434</v>
      </c>
      <c r="J54" s="142"/>
      <c r="K54" s="24">
        <v>40862143</v>
      </c>
      <c r="L54" s="142"/>
      <c r="M54" s="24">
        <v>170964</v>
      </c>
      <c r="N54" s="130"/>
      <c r="O54" s="130">
        <f t="shared" si="0"/>
        <v>5425779</v>
      </c>
      <c r="P54" s="130"/>
      <c r="Q54" s="24">
        <v>106108679</v>
      </c>
      <c r="R54" s="149"/>
      <c r="S54" s="24">
        <f>6070000+4420810</f>
        <v>10490810</v>
      </c>
    </row>
    <row r="55" spans="1:19" ht="12.75" customHeight="1">
      <c r="A55" s="32" t="s">
        <v>50</v>
      </c>
      <c r="B55" s="32"/>
      <c r="C55" s="24">
        <v>6783371</v>
      </c>
      <c r="D55" s="142"/>
      <c r="E55" s="24">
        <v>7142934</v>
      </c>
      <c r="F55" s="142"/>
      <c r="G55" s="24">
        <v>0</v>
      </c>
      <c r="H55" s="142"/>
      <c r="I55" s="24">
        <v>5372726</v>
      </c>
      <c r="J55" s="142"/>
      <c r="K55" s="24">
        <v>16300762</v>
      </c>
      <c r="L55" s="142"/>
      <c r="M55" s="24">
        <v>5285</v>
      </c>
      <c r="N55" s="130"/>
      <c r="O55" s="130">
        <f t="shared" si="0"/>
        <v>1797175</v>
      </c>
      <c r="P55" s="130"/>
      <c r="Q55" s="24">
        <v>37402253</v>
      </c>
      <c r="R55" s="149"/>
      <c r="S55" s="24">
        <v>903585</v>
      </c>
    </row>
    <row r="56" spans="1:19" ht="12.75" customHeight="1">
      <c r="A56" s="32" t="s">
        <v>244</v>
      </c>
      <c r="B56" s="32"/>
      <c r="C56" s="24">
        <v>45976340</v>
      </c>
      <c r="D56" s="142"/>
      <c r="E56" s="24">
        <v>23604815</v>
      </c>
      <c r="F56" s="142"/>
      <c r="G56" s="24">
        <v>0</v>
      </c>
      <c r="H56" s="142"/>
      <c r="I56" s="24">
        <v>17621682</v>
      </c>
      <c r="J56" s="142"/>
      <c r="K56" s="24">
        <v>93762624</v>
      </c>
      <c r="L56" s="142"/>
      <c r="M56" s="24">
        <v>519326</v>
      </c>
      <c r="N56" s="130"/>
      <c r="O56" s="130">
        <f t="shared" si="0"/>
        <v>20260423</v>
      </c>
      <c r="P56" s="130"/>
      <c r="Q56" s="24">
        <v>201745210</v>
      </c>
      <c r="R56" s="149"/>
      <c r="S56" s="24">
        <v>6587344</v>
      </c>
    </row>
    <row r="57" spans="1:19" ht="12.75" customHeight="1">
      <c r="A57" s="32" t="s">
        <v>182</v>
      </c>
      <c r="B57" s="32"/>
      <c r="C57" s="24">
        <v>90930546</v>
      </c>
      <c r="D57" s="142"/>
      <c r="E57" s="24">
        <v>72035424</v>
      </c>
      <c r="F57" s="142"/>
      <c r="G57" s="24">
        <v>4880730</v>
      </c>
      <c r="H57" s="142"/>
      <c r="I57" s="24">
        <v>32535158</v>
      </c>
      <c r="J57" s="142"/>
      <c r="K57" s="24">
        <v>224173852</v>
      </c>
      <c r="L57" s="142"/>
      <c r="M57" s="24">
        <v>1963156</v>
      </c>
      <c r="N57" s="130"/>
      <c r="O57" s="130">
        <f t="shared" si="0"/>
        <v>22686970</v>
      </c>
      <c r="P57" s="130"/>
      <c r="Q57" s="24">
        <v>449205836</v>
      </c>
      <c r="R57" s="149"/>
      <c r="S57" s="24">
        <f>4395000+66352+99391+123802+23669573</f>
        <v>28354118</v>
      </c>
    </row>
    <row r="58" spans="1:19" ht="12.75" customHeight="1" hidden="1">
      <c r="A58" s="32" t="s">
        <v>52</v>
      </c>
      <c r="B58" s="32"/>
      <c r="C58" s="24"/>
      <c r="D58" s="142"/>
      <c r="E58" s="24"/>
      <c r="F58" s="142"/>
      <c r="G58" s="24"/>
      <c r="H58" s="142"/>
      <c r="I58" s="24"/>
      <c r="J58" s="142"/>
      <c r="K58" s="24"/>
      <c r="L58" s="142"/>
      <c r="M58" s="24"/>
      <c r="N58" s="130"/>
      <c r="O58" s="130">
        <f t="shared" si="0"/>
        <v>0</v>
      </c>
      <c r="P58" s="130"/>
      <c r="Q58" s="24"/>
      <c r="R58" s="149"/>
      <c r="S58" s="24"/>
    </row>
    <row r="59" spans="1:19" ht="12.75" customHeight="1">
      <c r="A59" s="32" t="s">
        <v>53</v>
      </c>
      <c r="B59" s="32"/>
      <c r="C59" s="24">
        <v>29133310</v>
      </c>
      <c r="D59" s="142"/>
      <c r="E59" s="24">
        <v>29699553</v>
      </c>
      <c r="F59" s="142"/>
      <c r="G59" s="24">
        <v>1373069</v>
      </c>
      <c r="H59" s="142"/>
      <c r="I59" s="24">
        <v>4954358</v>
      </c>
      <c r="J59" s="142"/>
      <c r="K59" s="24">
        <v>92323512</v>
      </c>
      <c r="L59" s="142"/>
      <c r="M59" s="24">
        <v>284225</v>
      </c>
      <c r="N59" s="130"/>
      <c r="O59" s="130">
        <f t="shared" si="0"/>
        <v>22913446</v>
      </c>
      <c r="P59" s="130"/>
      <c r="Q59" s="24">
        <v>180681473</v>
      </c>
      <c r="R59" s="149"/>
      <c r="S59" s="24">
        <f>1270853+221753+4080000+6790000+72591+85327+10586015</f>
        <v>23106539</v>
      </c>
    </row>
    <row r="60" spans="1:19" ht="12.75" customHeight="1">
      <c r="A60" s="32" t="s">
        <v>54</v>
      </c>
      <c r="B60" s="32"/>
      <c r="C60" s="24">
        <v>6455745</v>
      </c>
      <c r="D60" s="142"/>
      <c r="E60" s="24">
        <v>7045122</v>
      </c>
      <c r="F60" s="142"/>
      <c r="G60" s="24">
        <v>386197</v>
      </c>
      <c r="H60" s="142"/>
      <c r="I60" s="24">
        <v>4411431</v>
      </c>
      <c r="J60" s="142"/>
      <c r="K60" s="24">
        <v>25702703</v>
      </c>
      <c r="L60" s="142"/>
      <c r="M60" s="24">
        <v>304095</v>
      </c>
      <c r="N60" s="130"/>
      <c r="O60" s="130">
        <f t="shared" si="0"/>
        <v>3055223</v>
      </c>
      <c r="P60" s="130"/>
      <c r="Q60" s="24">
        <v>47360516</v>
      </c>
      <c r="R60" s="149"/>
      <c r="S60" s="24">
        <f>2070000+1291540</f>
        <v>3361540</v>
      </c>
    </row>
    <row r="61" spans="1:19" ht="12.75" customHeight="1">
      <c r="A61" s="32" t="s">
        <v>55</v>
      </c>
      <c r="B61" s="32"/>
      <c r="C61" s="24">
        <v>24837399</v>
      </c>
      <c r="D61" s="142"/>
      <c r="E61" s="24">
        <v>19871981</v>
      </c>
      <c r="F61" s="142"/>
      <c r="G61" s="24">
        <v>1416345</v>
      </c>
      <c r="H61" s="142"/>
      <c r="I61" s="24">
        <v>14121707</v>
      </c>
      <c r="J61" s="142"/>
      <c r="K61" s="24">
        <v>39570798</v>
      </c>
      <c r="L61" s="142"/>
      <c r="M61" s="24">
        <v>1113220</v>
      </c>
      <c r="N61" s="130"/>
      <c r="O61" s="130">
        <f t="shared" si="0"/>
        <v>3656020</v>
      </c>
      <c r="P61" s="130"/>
      <c r="Q61" s="24">
        <v>104587470</v>
      </c>
      <c r="R61" s="149"/>
      <c r="S61" s="24">
        <f>22065+1150000+1706483</f>
        <v>2878548</v>
      </c>
    </row>
    <row r="62" spans="1:19" ht="12.75" customHeight="1" hidden="1">
      <c r="A62" s="32" t="s">
        <v>170</v>
      </c>
      <c r="B62" s="32"/>
      <c r="C62" s="24"/>
      <c r="D62" s="142"/>
      <c r="E62" s="24"/>
      <c r="F62" s="142"/>
      <c r="G62" s="24"/>
      <c r="H62" s="142"/>
      <c r="I62" s="24"/>
      <c r="J62" s="142"/>
      <c r="K62" s="24"/>
      <c r="L62" s="142"/>
      <c r="M62" s="24"/>
      <c r="N62" s="130"/>
      <c r="O62" s="130">
        <f t="shared" si="0"/>
        <v>0</v>
      </c>
      <c r="P62" s="130"/>
      <c r="Q62" s="24"/>
      <c r="R62" s="149"/>
      <c r="S62" s="24"/>
    </row>
    <row r="63" spans="1:19" ht="12.75" customHeight="1" hidden="1">
      <c r="A63" s="32" t="s">
        <v>56</v>
      </c>
      <c r="B63" s="32"/>
      <c r="C63" s="24"/>
      <c r="D63" s="142"/>
      <c r="E63" s="24"/>
      <c r="F63" s="142"/>
      <c r="G63" s="24"/>
      <c r="H63" s="142"/>
      <c r="I63" s="24"/>
      <c r="J63" s="142"/>
      <c r="K63" s="24"/>
      <c r="L63" s="142"/>
      <c r="M63" s="24"/>
      <c r="N63" s="130"/>
      <c r="O63" s="130">
        <f t="shared" si="0"/>
        <v>0</v>
      </c>
      <c r="P63" s="130"/>
      <c r="Q63" s="24"/>
      <c r="R63" s="149"/>
      <c r="S63" s="24"/>
    </row>
    <row r="64" spans="1:19" ht="12.75" customHeight="1">
      <c r="A64" s="32" t="s">
        <v>57</v>
      </c>
      <c r="B64" s="32"/>
      <c r="C64" s="24">
        <v>25492122</v>
      </c>
      <c r="D64" s="142"/>
      <c r="E64" s="24">
        <v>0</v>
      </c>
      <c r="F64" s="142"/>
      <c r="G64" s="24">
        <v>0</v>
      </c>
      <c r="H64" s="142"/>
      <c r="I64" s="24">
        <v>11851532</v>
      </c>
      <c r="J64" s="142"/>
      <c r="K64" s="24">
        <v>30789678</v>
      </c>
      <c r="L64" s="142"/>
      <c r="M64" s="24">
        <v>0</v>
      </c>
      <c r="N64" s="130"/>
      <c r="O64" s="130">
        <f t="shared" si="0"/>
        <v>4487350</v>
      </c>
      <c r="P64" s="130"/>
      <c r="Q64" s="24">
        <v>72620682</v>
      </c>
      <c r="R64" s="149"/>
      <c r="S64" s="24">
        <f>3730850+106770+705846</f>
        <v>4543466</v>
      </c>
    </row>
    <row r="65" spans="1:19" ht="12.75" customHeight="1" hidden="1">
      <c r="A65" s="32" t="s">
        <v>58</v>
      </c>
      <c r="B65" s="32"/>
      <c r="C65" s="24"/>
      <c r="D65" s="142"/>
      <c r="E65" s="24"/>
      <c r="F65" s="142"/>
      <c r="G65" s="24"/>
      <c r="H65" s="142"/>
      <c r="I65" s="24"/>
      <c r="J65" s="142"/>
      <c r="K65" s="24"/>
      <c r="L65" s="142"/>
      <c r="M65" s="24"/>
      <c r="N65" s="130"/>
      <c r="O65" s="130">
        <f t="shared" si="0"/>
        <v>0</v>
      </c>
      <c r="P65" s="130"/>
      <c r="Q65" s="24"/>
      <c r="R65" s="149"/>
      <c r="S65" s="24"/>
    </row>
    <row r="66" spans="1:19" ht="12.75" customHeight="1">
      <c r="A66" s="32" t="s">
        <v>59</v>
      </c>
      <c r="B66" s="32"/>
      <c r="C66" s="24">
        <v>132060279</v>
      </c>
      <c r="D66" s="30"/>
      <c r="E66" s="24">
        <v>66650957</v>
      </c>
      <c r="F66" s="30"/>
      <c r="G66" s="24">
        <v>8526021</v>
      </c>
      <c r="H66" s="30"/>
      <c r="I66" s="24">
        <v>50123648</v>
      </c>
      <c r="J66" s="30"/>
      <c r="K66" s="24">
        <v>233446056</v>
      </c>
      <c r="L66" s="30"/>
      <c r="M66" s="24">
        <v>242775</v>
      </c>
      <c r="N66" s="16"/>
      <c r="O66" s="16">
        <f t="shared" si="0"/>
        <v>21075952</v>
      </c>
      <c r="P66" s="16"/>
      <c r="Q66" s="24">
        <v>512125688</v>
      </c>
      <c r="R66" s="43"/>
      <c r="S66" s="24">
        <f>151599+48663+127404823</f>
        <v>127605085</v>
      </c>
    </row>
    <row r="67" spans="1:19" ht="12.75" customHeight="1" hidden="1">
      <c r="A67" s="32" t="s">
        <v>60</v>
      </c>
      <c r="B67" s="32"/>
      <c r="C67" s="24"/>
      <c r="D67" s="30"/>
      <c r="E67" s="24"/>
      <c r="F67" s="30"/>
      <c r="G67" s="24"/>
      <c r="H67" s="30"/>
      <c r="I67" s="24"/>
      <c r="J67" s="30"/>
      <c r="K67" s="24"/>
      <c r="L67" s="30"/>
      <c r="M67" s="24"/>
      <c r="N67" s="16"/>
      <c r="O67" s="16">
        <f t="shared" si="0"/>
        <v>0</v>
      </c>
      <c r="P67" s="16"/>
      <c r="Q67" s="24"/>
      <c r="R67" s="43"/>
      <c r="S67" s="24"/>
    </row>
    <row r="68" spans="1:19" ht="12.75" customHeight="1">
      <c r="A68" s="32" t="s">
        <v>97</v>
      </c>
      <c r="B68" s="32"/>
      <c r="C68" s="24">
        <v>4063856</v>
      </c>
      <c r="D68" s="30"/>
      <c r="E68" s="24">
        <v>2768296</v>
      </c>
      <c r="F68" s="30"/>
      <c r="G68" s="24">
        <v>0</v>
      </c>
      <c r="H68" s="30"/>
      <c r="I68" s="24">
        <v>2941606</v>
      </c>
      <c r="J68" s="30"/>
      <c r="K68" s="24">
        <v>13816025</v>
      </c>
      <c r="L68" s="30"/>
      <c r="M68" s="24">
        <v>0</v>
      </c>
      <c r="N68" s="16"/>
      <c r="O68" s="16">
        <f t="shared" si="0"/>
        <v>3654519</v>
      </c>
      <c r="P68" s="16"/>
      <c r="Q68" s="24">
        <v>27244302</v>
      </c>
      <c r="R68" s="43"/>
      <c r="S68" s="24">
        <f>2000000+30606+5097+432684+24740</f>
        <v>2493127</v>
      </c>
    </row>
    <row r="69" spans="1:19" ht="12.75" customHeight="1">
      <c r="A69" s="32" t="s">
        <v>61</v>
      </c>
      <c r="B69" s="32"/>
      <c r="C69" s="24">
        <v>17055278</v>
      </c>
      <c r="D69" s="30"/>
      <c r="E69" s="24">
        <v>15131293</v>
      </c>
      <c r="F69" s="30"/>
      <c r="G69" s="24">
        <f>467416+323445</f>
        <v>790861</v>
      </c>
      <c r="H69" s="30"/>
      <c r="I69" s="24">
        <v>9880316</v>
      </c>
      <c r="J69" s="30"/>
      <c r="K69" s="24">
        <v>30438261</v>
      </c>
      <c r="L69" s="30"/>
      <c r="M69" s="24">
        <v>29726</v>
      </c>
      <c r="N69" s="16"/>
      <c r="O69" s="16">
        <f t="shared" si="0"/>
        <v>4083489</v>
      </c>
      <c r="P69" s="16"/>
      <c r="Q69" s="24">
        <v>77409224</v>
      </c>
      <c r="R69" s="43"/>
      <c r="S69" s="24">
        <f>400000+15025+112475+4625902</f>
        <v>5153402</v>
      </c>
    </row>
    <row r="70" spans="1:19" ht="12.75" customHeight="1">
      <c r="A70" s="32" t="s">
        <v>62</v>
      </c>
      <c r="B70" s="32"/>
      <c r="C70" s="24">
        <v>2219725</v>
      </c>
      <c r="D70" s="30"/>
      <c r="E70" s="24">
        <v>1098781</v>
      </c>
      <c r="F70" s="30"/>
      <c r="G70" s="24">
        <v>0</v>
      </c>
      <c r="H70" s="30"/>
      <c r="I70" s="24">
        <v>1778273</v>
      </c>
      <c r="J70" s="30"/>
      <c r="K70" s="24">
        <v>6753317</v>
      </c>
      <c r="L70" s="30"/>
      <c r="M70" s="24">
        <v>0</v>
      </c>
      <c r="N70" s="16"/>
      <c r="O70" s="16">
        <f t="shared" si="0"/>
        <v>506588</v>
      </c>
      <c r="P70" s="16"/>
      <c r="Q70" s="24">
        <v>12356684</v>
      </c>
      <c r="R70" s="43"/>
      <c r="S70" s="24">
        <f>75000+7950+218802</f>
        <v>301752</v>
      </c>
    </row>
    <row r="71" spans="1:19" ht="12.75" customHeight="1" hidden="1">
      <c r="A71" s="32" t="s">
        <v>63</v>
      </c>
      <c r="B71" s="32"/>
      <c r="C71" s="24"/>
      <c r="D71" s="30"/>
      <c r="E71" s="24"/>
      <c r="F71" s="30"/>
      <c r="G71" s="24"/>
      <c r="H71" s="30"/>
      <c r="I71" s="24"/>
      <c r="J71" s="30"/>
      <c r="K71" s="24"/>
      <c r="L71" s="30"/>
      <c r="M71" s="24"/>
      <c r="N71" s="16"/>
      <c r="O71" s="16">
        <f t="shared" si="0"/>
        <v>0</v>
      </c>
      <c r="P71" s="16"/>
      <c r="Q71" s="24"/>
      <c r="R71" s="43"/>
      <c r="S71" s="24"/>
    </row>
    <row r="72" spans="1:19" ht="12.75" customHeight="1" hidden="1">
      <c r="A72" s="32" t="s">
        <v>131</v>
      </c>
      <c r="B72" s="32"/>
      <c r="C72" s="24"/>
      <c r="D72" s="30"/>
      <c r="E72" s="24"/>
      <c r="F72" s="30"/>
      <c r="G72" s="24"/>
      <c r="H72" s="30"/>
      <c r="I72" s="24"/>
      <c r="J72" s="30"/>
      <c r="K72" s="24"/>
      <c r="L72" s="30"/>
      <c r="M72" s="24"/>
      <c r="N72" s="16"/>
      <c r="O72" s="16">
        <f>Q72-C72-E72-G72-I72-K72-M72</f>
        <v>0</v>
      </c>
      <c r="P72" s="16"/>
      <c r="Q72" s="24"/>
      <c r="R72" s="43"/>
      <c r="S72" s="24"/>
    </row>
    <row r="73" spans="1:19" ht="12.75" customHeight="1" hidden="1">
      <c r="A73" s="32" t="s">
        <v>64</v>
      </c>
      <c r="B73" s="32"/>
      <c r="C73" s="24"/>
      <c r="D73" s="30"/>
      <c r="E73" s="24"/>
      <c r="F73" s="30"/>
      <c r="G73" s="24"/>
      <c r="H73" s="30"/>
      <c r="I73" s="24"/>
      <c r="J73" s="30"/>
      <c r="K73" s="24"/>
      <c r="L73" s="30"/>
      <c r="M73" s="24"/>
      <c r="N73" s="16"/>
      <c r="O73" s="16">
        <f>Q73-C73-E73-G73-I73-K73-M73</f>
        <v>0</v>
      </c>
      <c r="P73" s="16"/>
      <c r="Q73" s="24"/>
      <c r="R73" s="43"/>
      <c r="S73" s="24"/>
    </row>
    <row r="74" spans="1:19" ht="12.75" customHeight="1">
      <c r="A74" s="32" t="s">
        <v>65</v>
      </c>
      <c r="B74" s="32"/>
      <c r="C74" s="24">
        <v>6700215</v>
      </c>
      <c r="D74" s="137"/>
      <c r="E74" s="24">
        <v>6901609</v>
      </c>
      <c r="F74" s="137"/>
      <c r="G74" s="24">
        <v>444043</v>
      </c>
      <c r="H74" s="137"/>
      <c r="I74" s="24">
        <v>4324929</v>
      </c>
      <c r="J74" s="137"/>
      <c r="K74" s="24">
        <v>14619406</v>
      </c>
      <c r="L74" s="137"/>
      <c r="M74" s="24">
        <v>54314</v>
      </c>
      <c r="N74" s="138"/>
      <c r="O74" s="17">
        <f aca="true" t="shared" si="1" ref="O74:O98">Q74-C74-E74-G74-I74-K74-M74</f>
        <v>1681949</v>
      </c>
      <c r="P74" s="138"/>
      <c r="Q74" s="24">
        <v>34726465</v>
      </c>
      <c r="R74" s="139"/>
      <c r="S74" s="24">
        <f>33489+88093+518986</f>
        <v>640568</v>
      </c>
    </row>
    <row r="75" spans="1:19" ht="12.75" customHeight="1">
      <c r="A75" s="32" t="s">
        <v>66</v>
      </c>
      <c r="B75" s="32"/>
      <c r="C75" s="24">
        <v>7512631</v>
      </c>
      <c r="D75" s="30"/>
      <c r="E75" s="24">
        <v>0</v>
      </c>
      <c r="F75" s="30"/>
      <c r="G75" s="24">
        <v>0</v>
      </c>
      <c r="H75" s="30"/>
      <c r="I75" s="24">
        <v>2501035</v>
      </c>
      <c r="J75" s="30"/>
      <c r="K75" s="24">
        <v>15027293</v>
      </c>
      <c r="L75" s="30"/>
      <c r="M75" s="24">
        <v>0</v>
      </c>
      <c r="N75" s="16"/>
      <c r="O75" s="16">
        <f t="shared" si="1"/>
        <v>1567937</v>
      </c>
      <c r="P75" s="16"/>
      <c r="Q75" s="24">
        <v>26608896</v>
      </c>
      <c r="R75" s="43"/>
      <c r="S75" s="24">
        <f>23039+225000+227055+37700+665379</f>
        <v>1178173</v>
      </c>
    </row>
    <row r="76" spans="1:19" ht="12.75" customHeight="1">
      <c r="A76" s="32" t="s">
        <v>67</v>
      </c>
      <c r="B76" s="32"/>
      <c r="C76" s="24">
        <v>24290406</v>
      </c>
      <c r="D76" s="30"/>
      <c r="E76" s="24">
        <v>16512176</v>
      </c>
      <c r="F76" s="30"/>
      <c r="G76" s="24">
        <v>0</v>
      </c>
      <c r="H76" s="30"/>
      <c r="I76" s="24">
        <v>16306368</v>
      </c>
      <c r="J76" s="30"/>
      <c r="K76" s="24">
        <v>48675412</v>
      </c>
      <c r="L76" s="30"/>
      <c r="M76" s="24">
        <v>353112</v>
      </c>
      <c r="N76" s="16"/>
      <c r="O76" s="16">
        <f t="shared" si="1"/>
        <v>5660849</v>
      </c>
      <c r="P76" s="16"/>
      <c r="Q76" s="24">
        <v>111798323</v>
      </c>
      <c r="R76" s="43"/>
      <c r="S76" s="24">
        <f>83894+182227</f>
        <v>266121</v>
      </c>
    </row>
    <row r="77" spans="1:19" ht="12.75" customHeight="1">
      <c r="A77" s="32" t="s">
        <v>68</v>
      </c>
      <c r="B77" s="32"/>
      <c r="C77" s="24">
        <v>4252202</v>
      </c>
      <c r="D77" s="30"/>
      <c r="E77" s="24">
        <v>5027910</v>
      </c>
      <c r="F77" s="30"/>
      <c r="G77" s="24">
        <v>0</v>
      </c>
      <c r="H77" s="30"/>
      <c r="I77" s="24">
        <v>3655223</v>
      </c>
      <c r="J77" s="30"/>
      <c r="K77" s="24">
        <v>15764028</v>
      </c>
      <c r="L77" s="30"/>
      <c r="M77" s="24">
        <v>172155</v>
      </c>
      <c r="N77" s="16"/>
      <c r="O77" s="16">
        <f t="shared" si="1"/>
        <v>682532</v>
      </c>
      <c r="P77" s="16"/>
      <c r="Q77" s="24">
        <v>29554050</v>
      </c>
      <c r="R77" s="43"/>
      <c r="S77" s="24">
        <f>1179345+100097+368600+3540</f>
        <v>1651582</v>
      </c>
    </row>
    <row r="78" spans="3:19" ht="12.75" customHeight="1">
      <c r="C78" s="24"/>
      <c r="E78" s="24"/>
      <c r="G78" s="24"/>
      <c r="I78" s="24"/>
      <c r="K78" s="24"/>
      <c r="M78" s="24"/>
      <c r="S78" s="24"/>
    </row>
    <row r="79" spans="1:19" ht="12.75" customHeight="1">
      <c r="A79" s="32" t="s">
        <v>228</v>
      </c>
      <c r="B79" s="32"/>
      <c r="C79" s="24"/>
      <c r="D79" s="30"/>
      <c r="E79" s="24"/>
      <c r="F79" s="30"/>
      <c r="G79" s="24"/>
      <c r="H79" s="30"/>
      <c r="I79" s="24"/>
      <c r="J79" s="30"/>
      <c r="K79" s="24"/>
      <c r="L79" s="30"/>
      <c r="M79" s="24"/>
      <c r="N79" s="16"/>
      <c r="O79" s="16"/>
      <c r="P79" s="16"/>
      <c r="Q79" s="30" t="s">
        <v>247</v>
      </c>
      <c r="R79" s="43"/>
      <c r="S79" s="24"/>
    </row>
    <row r="80" spans="1:19" ht="12.75" customHeight="1" hidden="1">
      <c r="A80" s="32" t="s">
        <v>175</v>
      </c>
      <c r="B80" s="32"/>
      <c r="C80" s="24"/>
      <c r="D80" s="30"/>
      <c r="E80" s="24"/>
      <c r="F80" s="30"/>
      <c r="G80" s="24"/>
      <c r="H80" s="30"/>
      <c r="I80" s="24"/>
      <c r="J80" s="30"/>
      <c r="K80" s="24"/>
      <c r="L80" s="30"/>
      <c r="M80" s="24"/>
      <c r="N80" s="16"/>
      <c r="O80" s="16">
        <f t="shared" si="1"/>
        <v>0</v>
      </c>
      <c r="P80" s="16"/>
      <c r="Q80" s="24">
        <v>0</v>
      </c>
      <c r="R80" s="43"/>
      <c r="S80" s="24"/>
    </row>
    <row r="81" spans="1:19" ht="12.75" customHeight="1">
      <c r="A81" s="32" t="s">
        <v>177</v>
      </c>
      <c r="B81" s="32"/>
      <c r="C81" s="177">
        <v>15862545</v>
      </c>
      <c r="D81" s="179"/>
      <c r="E81" s="177">
        <v>16240620</v>
      </c>
      <c r="F81" s="179"/>
      <c r="G81" s="177">
        <v>0</v>
      </c>
      <c r="H81" s="179"/>
      <c r="I81" s="177">
        <v>11877719</v>
      </c>
      <c r="J81" s="179"/>
      <c r="K81" s="177">
        <v>56284604</v>
      </c>
      <c r="L81" s="179"/>
      <c r="M81" s="177">
        <v>947801</v>
      </c>
      <c r="N81" s="179"/>
      <c r="O81" s="179">
        <f t="shared" si="1"/>
        <v>3106561</v>
      </c>
      <c r="P81" s="179"/>
      <c r="Q81" s="177">
        <v>104319850</v>
      </c>
      <c r="R81" s="182"/>
      <c r="S81" s="177">
        <f>44158+224607+9906180+8115000+36735+4198625</f>
        <v>22525305</v>
      </c>
    </row>
    <row r="82" spans="1:19" ht="12.75" customHeight="1">
      <c r="A82" s="32" t="s">
        <v>69</v>
      </c>
      <c r="B82" s="32"/>
      <c r="C82" s="24">
        <v>10195301</v>
      </c>
      <c r="D82" s="30"/>
      <c r="E82" s="24">
        <v>12341993</v>
      </c>
      <c r="F82" s="30"/>
      <c r="G82" s="183">
        <v>0</v>
      </c>
      <c r="H82" s="30"/>
      <c r="I82" s="24">
        <v>6199676</v>
      </c>
      <c r="J82" s="30"/>
      <c r="K82" s="24">
        <v>24558057</v>
      </c>
      <c r="L82" s="30"/>
      <c r="M82" s="24">
        <v>14574</v>
      </c>
      <c r="N82" s="16"/>
      <c r="O82" s="16">
        <f t="shared" si="1"/>
        <v>2326335</v>
      </c>
      <c r="P82" s="16"/>
      <c r="Q82" s="24">
        <v>55635936</v>
      </c>
      <c r="R82" s="43"/>
      <c r="S82" s="24">
        <f>74731+2143364</f>
        <v>2218095</v>
      </c>
    </row>
    <row r="83" spans="1:19" ht="12.75" customHeight="1">
      <c r="A83" s="32" t="s">
        <v>98</v>
      </c>
      <c r="B83" s="32"/>
      <c r="C83" s="24">
        <v>7130033</v>
      </c>
      <c r="D83" s="30"/>
      <c r="E83" s="24">
        <v>9633681</v>
      </c>
      <c r="F83" s="30"/>
      <c r="G83" s="183">
        <v>0</v>
      </c>
      <c r="H83" s="30"/>
      <c r="I83" s="24">
        <v>5901705</v>
      </c>
      <c r="J83" s="30"/>
      <c r="K83" s="24">
        <v>22438104</v>
      </c>
      <c r="L83" s="30"/>
      <c r="M83" s="24">
        <v>350625</v>
      </c>
      <c r="N83" s="16"/>
      <c r="O83" s="16">
        <f t="shared" si="1"/>
        <v>5831197</v>
      </c>
      <c r="P83" s="16"/>
      <c r="Q83" s="24">
        <v>51285345</v>
      </c>
      <c r="R83" s="43"/>
      <c r="S83" s="24">
        <f>11295+1713818</f>
        <v>1725113</v>
      </c>
    </row>
    <row r="84" spans="1:19" ht="12.75" customHeight="1">
      <c r="A84" s="32" t="s">
        <v>70</v>
      </c>
      <c r="B84" s="32"/>
      <c r="C84" s="24">
        <v>5771406</v>
      </c>
      <c r="D84" s="30"/>
      <c r="E84" s="24">
        <v>10385109</v>
      </c>
      <c r="F84" s="30"/>
      <c r="G84" s="183">
        <f>357079+20422</f>
        <v>377501</v>
      </c>
      <c r="H84" s="30"/>
      <c r="I84" s="24">
        <v>6275631</v>
      </c>
      <c r="J84" s="30"/>
      <c r="K84" s="24">
        <v>27132828</v>
      </c>
      <c r="L84" s="30"/>
      <c r="M84" s="24">
        <v>0</v>
      </c>
      <c r="N84" s="16"/>
      <c r="O84" s="16">
        <f t="shared" si="1"/>
        <v>2082719</v>
      </c>
      <c r="P84" s="16"/>
      <c r="Q84" s="24">
        <v>52025194</v>
      </c>
      <c r="R84" s="43"/>
      <c r="S84" s="24">
        <f>21643+280452+1411263</f>
        <v>1713358</v>
      </c>
    </row>
    <row r="85" spans="1:19" ht="12.75" customHeight="1">
      <c r="A85" s="32" t="s">
        <v>71</v>
      </c>
      <c r="B85" s="32"/>
      <c r="C85" s="24">
        <v>5388447</v>
      </c>
      <c r="D85" s="30"/>
      <c r="E85" s="24">
        <v>7113990</v>
      </c>
      <c r="F85" s="30"/>
      <c r="G85" s="183">
        <v>0</v>
      </c>
      <c r="H85" s="30"/>
      <c r="I85" s="24">
        <v>4919239</v>
      </c>
      <c r="J85" s="30"/>
      <c r="K85" s="24">
        <v>23280416</v>
      </c>
      <c r="L85" s="30"/>
      <c r="M85" s="24">
        <v>142446</v>
      </c>
      <c r="N85" s="16"/>
      <c r="O85" s="16">
        <f t="shared" si="1"/>
        <v>1779109</v>
      </c>
      <c r="P85" s="16"/>
      <c r="Q85" s="24">
        <v>42623647</v>
      </c>
      <c r="R85" s="43"/>
      <c r="S85" s="24">
        <f>41700+2541316</f>
        <v>2583016</v>
      </c>
    </row>
    <row r="86" spans="1:19" ht="12.75" customHeight="1">
      <c r="A86" s="32" t="s">
        <v>72</v>
      </c>
      <c r="B86" s="32"/>
      <c r="C86" s="24">
        <v>6073762</v>
      </c>
      <c r="D86" s="30"/>
      <c r="E86" s="24">
        <v>7518454</v>
      </c>
      <c r="F86" s="30"/>
      <c r="G86" s="183">
        <v>0</v>
      </c>
      <c r="H86" s="30"/>
      <c r="I86" s="24">
        <v>4883579</v>
      </c>
      <c r="J86" s="30"/>
      <c r="K86" s="24">
        <v>15076935</v>
      </c>
      <c r="L86" s="30"/>
      <c r="M86" s="24">
        <v>291593</v>
      </c>
      <c r="N86" s="16"/>
      <c r="O86" s="16">
        <f t="shared" si="1"/>
        <v>1432836</v>
      </c>
      <c r="P86" s="16"/>
      <c r="Q86" s="24">
        <v>35277159</v>
      </c>
      <c r="R86" s="43"/>
      <c r="S86" s="24">
        <f>34323+1180155</f>
        <v>1214478</v>
      </c>
    </row>
    <row r="87" spans="1:19" ht="12.75" customHeight="1">
      <c r="A87" s="32" t="s">
        <v>73</v>
      </c>
      <c r="B87" s="32"/>
      <c r="C87" s="24">
        <v>56185752</v>
      </c>
      <c r="D87" s="30"/>
      <c r="E87" s="24">
        <v>10733594</v>
      </c>
      <c r="F87" s="30"/>
      <c r="G87" s="183">
        <v>0</v>
      </c>
      <c r="H87" s="30"/>
      <c r="I87" s="24">
        <v>24862270</v>
      </c>
      <c r="J87" s="30"/>
      <c r="K87" s="24">
        <v>135239584</v>
      </c>
      <c r="L87" s="30"/>
      <c r="M87" s="24">
        <v>620052</v>
      </c>
      <c r="N87" s="16"/>
      <c r="O87" s="16">
        <f t="shared" si="1"/>
        <v>9737432</v>
      </c>
      <c r="P87" s="16"/>
      <c r="Q87" s="24">
        <v>237378684</v>
      </c>
      <c r="R87" s="43"/>
      <c r="S87" s="24">
        <f>350000+47806</f>
        <v>397806</v>
      </c>
    </row>
    <row r="88" spans="1:19" ht="12.75" customHeight="1">
      <c r="A88" s="32" t="s">
        <v>74</v>
      </c>
      <c r="B88" s="32"/>
      <c r="C88" s="24">
        <v>109421535</v>
      </c>
      <c r="D88" s="30"/>
      <c r="E88" s="24">
        <v>36191563</v>
      </c>
      <c r="F88" s="30"/>
      <c r="G88" s="24">
        <v>8846210</v>
      </c>
      <c r="H88" s="30"/>
      <c r="I88" s="24">
        <v>48831963</v>
      </c>
      <c r="J88" s="30"/>
      <c r="K88" s="24">
        <v>171267958</v>
      </c>
      <c r="L88" s="30"/>
      <c r="M88" s="24">
        <v>195748</v>
      </c>
      <c r="N88" s="16"/>
      <c r="O88" s="16">
        <f t="shared" si="1"/>
        <v>8960496</v>
      </c>
      <c r="P88" s="16"/>
      <c r="Q88" s="24">
        <v>383715473</v>
      </c>
      <c r="R88" s="43"/>
      <c r="S88" s="24">
        <f>325300+293845+6713826</f>
        <v>7332971</v>
      </c>
    </row>
    <row r="89" spans="1:19" ht="12.75" customHeight="1">
      <c r="A89" s="32" t="s">
        <v>75</v>
      </c>
      <c r="B89" s="32"/>
      <c r="C89" s="24">
        <v>34388588</v>
      </c>
      <c r="D89" s="30"/>
      <c r="E89" s="24">
        <v>18119843</v>
      </c>
      <c r="F89" s="30"/>
      <c r="G89" s="24">
        <v>0</v>
      </c>
      <c r="H89" s="30"/>
      <c r="I89" s="24">
        <v>12805609</v>
      </c>
      <c r="J89" s="30"/>
      <c r="K89" s="24">
        <v>76059577</v>
      </c>
      <c r="L89" s="30"/>
      <c r="M89" s="24">
        <v>627594</v>
      </c>
      <c r="N89" s="16"/>
      <c r="O89" s="16">
        <f t="shared" si="1"/>
        <v>48472346</v>
      </c>
      <c r="P89" s="16"/>
      <c r="Q89" s="24">
        <v>190473557</v>
      </c>
      <c r="R89" s="43"/>
      <c r="S89" s="24">
        <f>5300000+112020+3909860</f>
        <v>9321880</v>
      </c>
    </row>
    <row r="90" spans="1:19" ht="12.75" customHeight="1">
      <c r="A90" s="32" t="s">
        <v>76</v>
      </c>
      <c r="B90" s="32"/>
      <c r="C90" s="24">
        <v>9322935</v>
      </c>
      <c r="D90" s="30"/>
      <c r="E90" s="24">
        <v>9678074</v>
      </c>
      <c r="F90" s="30"/>
      <c r="G90" s="24">
        <v>0</v>
      </c>
      <c r="H90" s="30"/>
      <c r="I90" s="24">
        <v>5938931</v>
      </c>
      <c r="J90" s="30"/>
      <c r="K90" s="24">
        <v>21971672</v>
      </c>
      <c r="L90" s="30"/>
      <c r="M90" s="24">
        <v>0</v>
      </c>
      <c r="N90" s="16"/>
      <c r="O90" s="16">
        <f t="shared" si="1"/>
        <v>2753008</v>
      </c>
      <c r="P90" s="16"/>
      <c r="Q90" s="24">
        <v>49664620</v>
      </c>
      <c r="R90" s="43"/>
      <c r="S90" s="24">
        <f>6656+4046023</f>
        <v>4052679</v>
      </c>
    </row>
    <row r="91" spans="1:19" s="25" customFormat="1" ht="12.75" customHeight="1">
      <c r="A91" s="24" t="s">
        <v>77</v>
      </c>
      <c r="B91" s="24"/>
      <c r="C91" s="24">
        <v>10312236</v>
      </c>
      <c r="D91" s="30"/>
      <c r="E91" s="24">
        <v>9532046</v>
      </c>
      <c r="F91" s="30"/>
      <c r="G91" s="24">
        <v>0</v>
      </c>
      <c r="H91" s="30"/>
      <c r="I91" s="24">
        <v>5746123</v>
      </c>
      <c r="J91" s="30"/>
      <c r="K91" s="24">
        <v>23185233</v>
      </c>
      <c r="L91" s="30"/>
      <c r="M91" s="24">
        <v>302925</v>
      </c>
      <c r="N91" s="16"/>
      <c r="O91" s="16">
        <f t="shared" si="1"/>
        <v>3048992</v>
      </c>
      <c r="P91" s="16"/>
      <c r="Q91" s="24">
        <v>52127555</v>
      </c>
      <c r="R91" s="43"/>
      <c r="S91" s="24">
        <v>1584823</v>
      </c>
    </row>
    <row r="92" spans="1:19" ht="12.75" customHeight="1">
      <c r="A92" s="32" t="s">
        <v>78</v>
      </c>
      <c r="B92" s="32"/>
      <c r="C92" s="24">
        <v>3217898</v>
      </c>
      <c r="D92" s="30"/>
      <c r="E92" s="24">
        <v>3913561</v>
      </c>
      <c r="F92" s="30"/>
      <c r="G92" s="24">
        <v>93424</v>
      </c>
      <c r="H92" s="30"/>
      <c r="I92" s="24">
        <v>2183458</v>
      </c>
      <c r="J92" s="30"/>
      <c r="K92" s="24">
        <v>11796294</v>
      </c>
      <c r="L92" s="30"/>
      <c r="M92" s="24">
        <v>253812</v>
      </c>
      <c r="N92" s="16"/>
      <c r="O92" s="16">
        <f t="shared" si="1"/>
        <v>1433450</v>
      </c>
      <c r="P92" s="16"/>
      <c r="Q92" s="24">
        <v>22891897</v>
      </c>
      <c r="R92" s="43"/>
      <c r="S92" s="24">
        <f>20255+98388+62957+308464</f>
        <v>490064</v>
      </c>
    </row>
    <row r="93" spans="1:19" ht="12.75" customHeight="1" hidden="1">
      <c r="A93" s="32" t="s">
        <v>79</v>
      </c>
      <c r="B93" s="32"/>
      <c r="C93" s="24"/>
      <c r="D93" s="30"/>
      <c r="E93" s="24"/>
      <c r="F93" s="30"/>
      <c r="G93" s="24"/>
      <c r="H93" s="30"/>
      <c r="I93" s="24"/>
      <c r="J93" s="30"/>
      <c r="K93" s="24"/>
      <c r="L93" s="30"/>
      <c r="M93" s="24"/>
      <c r="N93" s="16"/>
      <c r="O93" s="16">
        <f t="shared" si="1"/>
        <v>0</v>
      </c>
      <c r="P93" s="16"/>
      <c r="Q93" s="24"/>
      <c r="R93" s="43"/>
      <c r="S93" s="24"/>
    </row>
    <row r="94" spans="1:19" ht="12.75" customHeight="1">
      <c r="A94" s="32" t="s">
        <v>80</v>
      </c>
      <c r="B94" s="32"/>
      <c r="C94" s="24">
        <v>63687694</v>
      </c>
      <c r="D94" s="30"/>
      <c r="E94" s="24">
        <v>0</v>
      </c>
      <c r="F94" s="30"/>
      <c r="G94" s="24">
        <v>0</v>
      </c>
      <c r="H94" s="30"/>
      <c r="I94" s="24">
        <v>13784895</v>
      </c>
      <c r="J94" s="30"/>
      <c r="K94" s="24">
        <v>34437987</v>
      </c>
      <c r="L94" s="30"/>
      <c r="M94" s="24">
        <v>1713292</v>
      </c>
      <c r="N94" s="16"/>
      <c r="O94" s="16">
        <f t="shared" si="1"/>
        <v>6136074</v>
      </c>
      <c r="P94" s="16"/>
      <c r="Q94" s="24">
        <v>119759942</v>
      </c>
      <c r="R94" s="43"/>
      <c r="S94" s="24">
        <f>555810+3173+7046311</f>
        <v>7605294</v>
      </c>
    </row>
    <row r="95" spans="1:19" ht="12.75" customHeight="1">
      <c r="A95" s="32" t="s">
        <v>81</v>
      </c>
      <c r="B95" s="32"/>
      <c r="C95" s="24">
        <v>8395217</v>
      </c>
      <c r="D95" s="30"/>
      <c r="E95" s="24">
        <v>10385167</v>
      </c>
      <c r="F95" s="30"/>
      <c r="G95" s="24">
        <v>0</v>
      </c>
      <c r="H95" s="30"/>
      <c r="I95" s="24">
        <v>5041889</v>
      </c>
      <c r="J95" s="30"/>
      <c r="K95" s="24">
        <v>26833987</v>
      </c>
      <c r="L95" s="30"/>
      <c r="M95" s="24">
        <v>0</v>
      </c>
      <c r="N95" s="16"/>
      <c r="O95" s="16">
        <f t="shared" si="1"/>
        <v>2369580</v>
      </c>
      <c r="P95" s="16"/>
      <c r="Q95" s="24">
        <v>53025840</v>
      </c>
      <c r="R95" s="43"/>
      <c r="S95" s="24">
        <f>36503+409537+1670000+18605+1150569</f>
        <v>3285214</v>
      </c>
    </row>
    <row r="96" spans="1:19" ht="12.75" customHeight="1">
      <c r="A96" s="32" t="s">
        <v>82</v>
      </c>
      <c r="B96" s="32"/>
      <c r="C96" s="24">
        <v>13972288</v>
      </c>
      <c r="D96" s="30"/>
      <c r="E96" s="24">
        <v>10020259</v>
      </c>
      <c r="F96" s="30"/>
      <c r="G96" s="24">
        <v>0</v>
      </c>
      <c r="H96" s="30"/>
      <c r="I96" s="24">
        <v>11495362</v>
      </c>
      <c r="J96" s="30"/>
      <c r="K96" s="24">
        <v>26705291</v>
      </c>
      <c r="L96" s="30"/>
      <c r="M96" s="24">
        <v>2202</v>
      </c>
      <c r="N96" s="16"/>
      <c r="O96" s="16">
        <f t="shared" si="1"/>
        <v>3734830</v>
      </c>
      <c r="P96" s="16"/>
      <c r="Q96" s="24">
        <v>65930232</v>
      </c>
      <c r="R96" s="43"/>
      <c r="S96" s="24">
        <f>7901+8020000+118648+1670683</f>
        <v>9817232</v>
      </c>
    </row>
    <row r="97" spans="1:19" ht="12.75" customHeight="1" hidden="1">
      <c r="A97" s="32" t="s">
        <v>173</v>
      </c>
      <c r="B97" s="32"/>
      <c r="C97" s="24"/>
      <c r="D97" s="30"/>
      <c r="E97" s="24"/>
      <c r="F97" s="30"/>
      <c r="G97" s="24"/>
      <c r="H97" s="30"/>
      <c r="I97" s="24"/>
      <c r="J97" s="30"/>
      <c r="K97" s="24"/>
      <c r="L97" s="30"/>
      <c r="M97" s="24"/>
      <c r="N97" s="16"/>
      <c r="O97" s="16">
        <f t="shared" si="1"/>
        <v>0</v>
      </c>
      <c r="P97" s="16"/>
      <c r="Q97" s="24"/>
      <c r="R97" s="43"/>
      <c r="S97" s="24"/>
    </row>
    <row r="98" spans="1:19" ht="12.75" customHeight="1">
      <c r="A98" s="32" t="s">
        <v>83</v>
      </c>
      <c r="B98" s="32"/>
      <c r="C98" s="24">
        <v>24299941</v>
      </c>
      <c r="D98" s="30"/>
      <c r="E98" s="24">
        <v>16519667</v>
      </c>
      <c r="F98" s="30"/>
      <c r="G98" s="24">
        <f>3982973+111339</f>
        <v>4094312</v>
      </c>
      <c r="H98" s="30"/>
      <c r="I98" s="24">
        <v>10622340</v>
      </c>
      <c r="J98" s="30"/>
      <c r="K98" s="24">
        <v>42104547</v>
      </c>
      <c r="L98" s="30"/>
      <c r="M98" s="24">
        <v>766680</v>
      </c>
      <c r="N98" s="16"/>
      <c r="O98" s="16">
        <f t="shared" si="1"/>
        <v>4579068</v>
      </c>
      <c r="P98" s="16"/>
      <c r="Q98" s="24">
        <v>102986555</v>
      </c>
      <c r="R98" s="43"/>
      <c r="S98" s="24">
        <v>7401796</v>
      </c>
    </row>
    <row r="99" spans="1:19" ht="12.75" customHeight="1" hidden="1">
      <c r="A99" s="32" t="s">
        <v>174</v>
      </c>
      <c r="B99" s="32"/>
      <c r="C99" s="24">
        <v>0</v>
      </c>
      <c r="D99" s="68"/>
      <c r="E99" s="24">
        <v>0</v>
      </c>
      <c r="F99" s="68"/>
      <c r="G99" s="24">
        <v>0</v>
      </c>
      <c r="H99" s="68"/>
      <c r="I99" s="24">
        <v>0</v>
      </c>
      <c r="J99" s="72"/>
      <c r="K99" s="24">
        <v>0</v>
      </c>
      <c r="L99" s="72"/>
      <c r="M99" s="24">
        <v>0</v>
      </c>
      <c r="N99" s="72"/>
      <c r="O99" s="16">
        <f>Q99-C99-E99-G99-I99-K99-M99</f>
        <v>0</v>
      </c>
      <c r="P99" s="72"/>
      <c r="Q99" s="24">
        <v>0</v>
      </c>
      <c r="R99" s="33"/>
      <c r="S99" s="24">
        <v>0</v>
      </c>
    </row>
    <row r="100" spans="1:19" ht="12.75" customHeight="1">
      <c r="A100" s="32"/>
      <c r="B100" s="32"/>
      <c r="C100" s="68"/>
      <c r="D100" s="68"/>
      <c r="E100" s="68"/>
      <c r="F100" s="68"/>
      <c r="G100" s="68"/>
      <c r="H100" s="68"/>
      <c r="I100" s="68"/>
      <c r="J100" s="72"/>
      <c r="K100" s="68"/>
      <c r="L100" s="72"/>
      <c r="M100" s="68"/>
      <c r="N100" s="72"/>
      <c r="O100" s="16"/>
      <c r="P100" s="72"/>
      <c r="Q100" s="68"/>
      <c r="R100" s="33"/>
      <c r="S100" s="68"/>
    </row>
    <row r="101" spans="1:19" ht="12.75" customHeight="1">
      <c r="A101" s="32" t="s">
        <v>228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2"/>
    </row>
    <row r="102" spans="1:19" ht="12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2"/>
    </row>
    <row r="103" spans="1:19" ht="12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2"/>
    </row>
    <row r="104" spans="1:19" ht="12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2"/>
    </row>
    <row r="105" spans="1:19" ht="12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2"/>
    </row>
    <row r="106" spans="1:19" ht="12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2"/>
    </row>
    <row r="107" spans="1:18" ht="12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1:18" ht="12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1:18" ht="12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printOptions/>
  <pageMargins left="1" right="0.75" top="0.5" bottom="0.5" header="0" footer="0.25"/>
  <pageSetup firstPageNumber="32" useFirstPageNumber="1" horizontalDpi="600" verticalDpi="600" orientation="portrait" pageOrder="overThenDown" r:id="rId1"/>
  <headerFooter scaleWithDoc="0" alignWithMargins="0">
    <oddFooter>&amp;C&amp;"Times New Roman,Regular"&amp;11&amp;P</oddFooter>
  </headerFooter>
  <rowBreaks count="1" manualBreakCount="1">
    <brk id="79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O605"/>
  <sheetViews>
    <sheetView view="pageBreakPreview" zoomScale="130" zoomScaleSheetLayoutView="130" zoomScalePageLayoutView="0" workbookViewId="0" topLeftCell="A1">
      <pane xSplit="1" ySplit="8" topLeftCell="Q9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5" sqref="A5"/>
    </sheetView>
  </sheetViews>
  <sheetFormatPr defaultColWidth="9.140625" defaultRowHeight="12" customHeight="1"/>
  <cols>
    <col min="1" max="1" width="15.7109375" style="34" customWidth="1"/>
    <col min="2" max="2" width="1.7109375" style="34" customWidth="1"/>
    <col min="3" max="3" width="11.7109375" style="34" customWidth="1"/>
    <col min="4" max="4" width="1.7109375" style="34" customWidth="1"/>
    <col min="5" max="5" width="11.7109375" style="34" customWidth="1"/>
    <col min="6" max="6" width="1.7109375" style="34" customWidth="1"/>
    <col min="7" max="7" width="11.7109375" style="34" customWidth="1"/>
    <col min="8" max="8" width="1.7109375" style="34" customWidth="1"/>
    <col min="9" max="9" width="11.7109375" style="34" customWidth="1"/>
    <col min="10" max="10" width="1.7109375" style="34" customWidth="1"/>
    <col min="11" max="11" width="11.7109375" style="34" customWidth="1"/>
    <col min="12" max="12" width="1.7109375" style="34" customWidth="1"/>
    <col min="13" max="13" width="11.7109375" style="34" customWidth="1"/>
    <col min="14" max="14" width="1.7109375" style="34" hidden="1" customWidth="1"/>
    <col min="15" max="15" width="11.7109375" style="34" customWidth="1"/>
    <col min="16" max="16" width="1.7109375" style="34" customWidth="1"/>
    <col min="17" max="17" width="10.7109375" style="34" customWidth="1"/>
    <col min="18" max="18" width="1.7109375" style="34" customWidth="1"/>
    <col min="19" max="19" width="10.7109375" style="34" customWidth="1"/>
    <col min="20" max="20" width="1.7109375" style="34" customWidth="1"/>
    <col min="21" max="21" width="10.7109375" style="34" customWidth="1"/>
    <col min="22" max="22" width="1.7109375" style="34" customWidth="1"/>
    <col min="23" max="23" width="10.7109375" style="34" customWidth="1"/>
    <col min="24" max="24" width="1.7109375" style="34" customWidth="1"/>
    <col min="25" max="25" width="10.7109375" style="34" customWidth="1"/>
    <col min="26" max="26" width="1.7109375" style="34" customWidth="1"/>
    <col min="27" max="27" width="10.7109375" style="34" customWidth="1"/>
    <col min="28" max="28" width="1.7109375" style="34" customWidth="1"/>
    <col min="29" max="29" width="11.7109375" style="34" customWidth="1"/>
    <col min="30" max="30" width="2.7109375" style="34" customWidth="1"/>
    <col min="31" max="31" width="11.7109375" style="34" customWidth="1"/>
    <col min="32" max="32" width="3.7109375" style="26" customWidth="1"/>
    <col min="33" max="33" width="11.140625" style="26" bestFit="1" customWidth="1"/>
    <col min="34" max="34" width="3.421875" style="26" customWidth="1"/>
    <col min="35" max="35" width="11.421875" style="26" bestFit="1" customWidth="1"/>
    <col min="36" max="36" width="3.28125" style="26" customWidth="1"/>
    <col min="37" max="37" width="10.8515625" style="26" bestFit="1" customWidth="1"/>
    <col min="38" max="38" width="3.00390625" style="26" customWidth="1"/>
    <col min="39" max="39" width="14.140625" style="104" customWidth="1"/>
    <col min="40" max="16384" width="9.140625" style="26" customWidth="1"/>
  </cols>
  <sheetData>
    <row r="1" spans="1:33" s="66" customFormat="1" ht="12.75" customHeight="1">
      <c r="A1" s="63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42"/>
      <c r="AF1" s="49"/>
      <c r="AG1" s="65"/>
    </row>
    <row r="2" spans="1:33" s="66" customFormat="1" ht="12.75" customHeight="1">
      <c r="A2" s="63" t="s">
        <v>251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42"/>
      <c r="AF2" s="49"/>
      <c r="AG2" s="65"/>
    </row>
    <row r="3" spans="1:33" s="66" customFormat="1" ht="12.75" customHeight="1">
      <c r="A3" s="49" t="s">
        <v>247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42"/>
      <c r="AF3" s="49"/>
      <c r="AG3" s="65"/>
    </row>
    <row r="4" spans="1:33" ht="12.75" customHeight="1">
      <c r="A4" s="57" t="s">
        <v>183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32"/>
      <c r="AF4" s="33"/>
      <c r="AG4" s="67"/>
    </row>
    <row r="5" spans="1:33" ht="12.75" customHeight="1">
      <c r="A5" s="57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32"/>
      <c r="AF5" s="33"/>
      <c r="AG5" s="67"/>
    </row>
    <row r="6" spans="1:37" ht="12.75" customHeight="1">
      <c r="A6" s="5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32"/>
      <c r="AF6" s="33"/>
      <c r="AG6" s="67" t="s">
        <v>206</v>
      </c>
      <c r="AI6" s="26" t="s">
        <v>211</v>
      </c>
      <c r="AK6" s="26" t="s">
        <v>214</v>
      </c>
    </row>
    <row r="7" spans="1:39" ht="12.75" customHeight="1">
      <c r="A7" s="19"/>
      <c r="B7" s="19"/>
      <c r="C7" s="19" t="s">
        <v>184</v>
      </c>
      <c r="D7" s="19"/>
      <c r="E7" s="19"/>
      <c r="F7" s="19"/>
      <c r="G7" s="19" t="s">
        <v>84</v>
      </c>
      <c r="H7" s="19"/>
      <c r="I7" s="19" t="s">
        <v>84</v>
      </c>
      <c r="J7" s="19"/>
      <c r="K7" s="19"/>
      <c r="L7" s="19"/>
      <c r="M7" s="19" t="s">
        <v>85</v>
      </c>
      <c r="N7" s="19"/>
      <c r="O7" s="19" t="s">
        <v>164</v>
      </c>
      <c r="P7" s="19"/>
      <c r="Q7" s="19" t="s">
        <v>86</v>
      </c>
      <c r="R7" s="19"/>
      <c r="S7" s="19" t="s">
        <v>99</v>
      </c>
      <c r="T7" s="19"/>
      <c r="U7" s="19" t="s">
        <v>87</v>
      </c>
      <c r="V7" s="19"/>
      <c r="W7" s="19" t="s">
        <v>1</v>
      </c>
      <c r="X7" s="19"/>
      <c r="Y7" s="19"/>
      <c r="Z7" s="19"/>
      <c r="AA7" s="19" t="s">
        <v>100</v>
      </c>
      <c r="AB7" s="19"/>
      <c r="AC7" s="23"/>
      <c r="AD7" s="23"/>
      <c r="AE7" s="32" t="s">
        <v>101</v>
      </c>
      <c r="AF7" s="33"/>
      <c r="AG7" s="99" t="s">
        <v>210</v>
      </c>
      <c r="AH7" s="34"/>
      <c r="AI7" s="34" t="s">
        <v>212</v>
      </c>
      <c r="AJ7" s="34"/>
      <c r="AK7" s="34" t="s">
        <v>215</v>
      </c>
      <c r="AL7" s="34"/>
      <c r="AM7" s="34" t="s">
        <v>217</v>
      </c>
    </row>
    <row r="8" spans="1:39" ht="12.75" customHeight="1">
      <c r="A8" s="53" t="s">
        <v>5</v>
      </c>
      <c r="B8" s="23"/>
      <c r="C8" s="53" t="s">
        <v>185</v>
      </c>
      <c r="D8" s="23"/>
      <c r="E8" s="53" t="s">
        <v>88</v>
      </c>
      <c r="F8" s="23"/>
      <c r="G8" s="53" t="s">
        <v>89</v>
      </c>
      <c r="H8" s="23"/>
      <c r="I8" s="53" t="s">
        <v>90</v>
      </c>
      <c r="J8" s="23"/>
      <c r="K8" s="53" t="s">
        <v>91</v>
      </c>
      <c r="L8" s="23"/>
      <c r="M8" s="53" t="s">
        <v>8</v>
      </c>
      <c r="N8" s="23"/>
      <c r="O8" s="53" t="s">
        <v>165</v>
      </c>
      <c r="P8" s="23"/>
      <c r="Q8" s="53" t="s">
        <v>188</v>
      </c>
      <c r="R8" s="23"/>
      <c r="S8" s="53" t="s">
        <v>92</v>
      </c>
      <c r="T8" s="23"/>
      <c r="U8" s="53" t="s">
        <v>93</v>
      </c>
      <c r="V8" s="23"/>
      <c r="W8" s="53" t="s">
        <v>9</v>
      </c>
      <c r="X8" s="23"/>
      <c r="Y8" s="53" t="s">
        <v>94</v>
      </c>
      <c r="Z8" s="23"/>
      <c r="AA8" s="53" t="s">
        <v>95</v>
      </c>
      <c r="AB8" s="23"/>
      <c r="AC8" s="53" t="s">
        <v>4</v>
      </c>
      <c r="AD8" s="23"/>
      <c r="AE8" s="32" t="s">
        <v>92</v>
      </c>
      <c r="AF8" s="33"/>
      <c r="AG8" s="99" t="s">
        <v>207</v>
      </c>
      <c r="AH8" s="34"/>
      <c r="AI8" s="34" t="s">
        <v>213</v>
      </c>
      <c r="AJ8" s="34"/>
      <c r="AK8" s="34" t="s">
        <v>216</v>
      </c>
      <c r="AL8" s="34"/>
      <c r="AM8" s="34" t="s">
        <v>218</v>
      </c>
    </row>
    <row r="9" spans="1:39" ht="12.75" customHeight="1">
      <c r="A9" s="19"/>
      <c r="B9" s="23"/>
      <c r="C9" s="19"/>
      <c r="D9" s="23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23"/>
      <c r="S9" s="19"/>
      <c r="T9" s="23"/>
      <c r="U9" s="19"/>
      <c r="V9" s="23"/>
      <c r="W9" s="19"/>
      <c r="X9" s="23"/>
      <c r="Y9" s="19"/>
      <c r="Z9" s="23"/>
      <c r="AA9" s="19"/>
      <c r="AB9" s="23"/>
      <c r="AC9" s="19"/>
      <c r="AD9" s="23"/>
      <c r="AE9" s="32"/>
      <c r="AF9" s="33"/>
      <c r="AG9" s="99"/>
      <c r="AH9" s="34"/>
      <c r="AI9" s="34"/>
      <c r="AJ9" s="34"/>
      <c r="AK9" s="34"/>
      <c r="AL9" s="34"/>
      <c r="AM9" s="34"/>
    </row>
    <row r="10" spans="1:39" ht="12.75" customHeight="1" hidden="1">
      <c r="A10" s="89" t="s">
        <v>235</v>
      </c>
      <c r="B10" s="23"/>
      <c r="C10" s="47">
        <v>2621758</v>
      </c>
      <c r="D10" s="47"/>
      <c r="E10" s="47">
        <v>1356301</v>
      </c>
      <c r="F10" s="47"/>
      <c r="G10" s="47">
        <v>2563519</v>
      </c>
      <c r="H10" s="47"/>
      <c r="I10" s="47">
        <v>5452725</v>
      </c>
      <c r="J10" s="47"/>
      <c r="K10" s="47">
        <v>3284240</v>
      </c>
      <c r="L10" s="47"/>
      <c r="M10" s="47">
        <v>5663296</v>
      </c>
      <c r="N10" s="47"/>
      <c r="O10" s="47">
        <v>0</v>
      </c>
      <c r="P10" s="47"/>
      <c r="Q10" s="47">
        <v>0</v>
      </c>
      <c r="R10" s="47"/>
      <c r="S10" s="47">
        <v>1414018</v>
      </c>
      <c r="T10" s="47"/>
      <c r="U10" s="47">
        <v>547550</v>
      </c>
      <c r="V10" s="47"/>
      <c r="W10" s="47">
        <v>0</v>
      </c>
      <c r="X10" s="47"/>
      <c r="Y10" s="47">
        <v>678282</v>
      </c>
      <c r="Z10" s="47"/>
      <c r="AA10" s="47">
        <v>28584</v>
      </c>
      <c r="AB10" s="47"/>
      <c r="AC10" s="47">
        <f>SUM(C10:AA10)</f>
        <v>23610273</v>
      </c>
      <c r="AD10" s="30"/>
      <c r="AE10" s="103">
        <f>SUM(C10:S10)</f>
        <v>22355857</v>
      </c>
      <c r="AF10" s="33"/>
      <c r="AG10" s="47">
        <f>66778+195784</f>
        <v>262562</v>
      </c>
      <c r="AH10" s="34"/>
      <c r="AI10" s="47">
        <v>10385313</v>
      </c>
      <c r="AJ10" s="34"/>
      <c r="AK10" s="34">
        <v>0</v>
      </c>
      <c r="AL10" s="34"/>
      <c r="AM10" s="34">
        <f>+'Gov Fd Rv'!Q10+'Gov Fd Rv'!S10-'Gov Fnd Exp'!AC10-AG10+AI10-'Gov Fd BS'!U10+AK10</f>
        <v>0</v>
      </c>
    </row>
    <row r="11" spans="1:39" ht="12.75" customHeight="1">
      <c r="A11" s="32" t="s">
        <v>13</v>
      </c>
      <c r="B11" s="32"/>
      <c r="C11" s="47">
        <v>12027708</v>
      </c>
      <c r="D11" s="47"/>
      <c r="E11" s="47">
        <v>8926664</v>
      </c>
      <c r="F11" s="47"/>
      <c r="G11" s="47">
        <v>10605208</v>
      </c>
      <c r="H11" s="47"/>
      <c r="I11" s="47">
        <v>12233502</v>
      </c>
      <c r="J11" s="47"/>
      <c r="K11" s="47">
        <v>16000602</v>
      </c>
      <c r="L11" s="47"/>
      <c r="M11" s="47">
        <v>15395046</v>
      </c>
      <c r="N11" s="47"/>
      <c r="O11" s="47">
        <v>0</v>
      </c>
      <c r="P11" s="47"/>
      <c r="Q11" s="47">
        <v>1062558</v>
      </c>
      <c r="R11" s="47"/>
      <c r="S11" s="47">
        <v>30990</v>
      </c>
      <c r="T11" s="47"/>
      <c r="U11" s="47">
        <v>599037</v>
      </c>
      <c r="V11" s="47"/>
      <c r="W11" s="47">
        <v>168803</v>
      </c>
      <c r="X11" s="47"/>
      <c r="Y11" s="47">
        <v>8029611</v>
      </c>
      <c r="Z11" s="47"/>
      <c r="AA11" s="47">
        <v>831936</v>
      </c>
      <c r="AB11" s="47"/>
      <c r="AC11" s="47">
        <f>SUM(C11:AA11)</f>
        <v>85911665</v>
      </c>
      <c r="AD11" s="30"/>
      <c r="AE11" s="103">
        <f>SUM(C11:S11)</f>
        <v>76282278</v>
      </c>
      <c r="AF11" s="33"/>
      <c r="AG11" s="47">
        <v>634596</v>
      </c>
      <c r="AH11" s="34"/>
      <c r="AI11" s="47">
        <v>39474772</v>
      </c>
      <c r="AJ11" s="34"/>
      <c r="AK11" s="24"/>
      <c r="AL11" s="34"/>
      <c r="AM11" s="34">
        <f>+'Gov Fd Rv'!Q11+'Gov Fd Rv'!S11-'Gov Fnd Exp'!AC11-AG11+AI11-'Gov Fd BS'!U11+AK11</f>
        <v>5824</v>
      </c>
    </row>
    <row r="12" spans="1:40" ht="12.75" customHeight="1">
      <c r="A12" s="32" t="s">
        <v>14</v>
      </c>
      <c r="B12" s="32"/>
      <c r="C12" s="30">
        <v>4826241</v>
      </c>
      <c r="D12" s="30"/>
      <c r="E12" s="30">
        <v>1821645</v>
      </c>
      <c r="F12" s="30"/>
      <c r="G12" s="30">
        <f>5458229+274004</f>
        <v>5732233</v>
      </c>
      <c r="H12" s="30"/>
      <c r="I12" s="30">
        <v>5376627</v>
      </c>
      <c r="J12" s="30"/>
      <c r="K12" s="30">
        <f>4215436+6644598+934216</f>
        <v>11794250</v>
      </c>
      <c r="L12" s="30"/>
      <c r="M12" s="30">
        <f>1495667+3008221+1620531</f>
        <v>6124419</v>
      </c>
      <c r="N12" s="30"/>
      <c r="O12" s="30">
        <v>0</v>
      </c>
      <c r="P12" s="30"/>
      <c r="Q12" s="30">
        <v>29500</v>
      </c>
      <c r="R12" s="30"/>
      <c r="S12" s="30">
        <v>0</v>
      </c>
      <c r="T12" s="30"/>
      <c r="U12" s="30">
        <v>0</v>
      </c>
      <c r="V12" s="30"/>
      <c r="W12" s="30">
        <v>167095</v>
      </c>
      <c r="X12" s="30"/>
      <c r="Y12" s="30">
        <v>2657973</v>
      </c>
      <c r="Z12" s="30"/>
      <c r="AA12" s="30">
        <v>206803</v>
      </c>
      <c r="AB12" s="30"/>
      <c r="AC12" s="30">
        <f aca="true" t="shared" si="0" ref="AC12:AC28">SUM(C12:AA12)</f>
        <v>38736786</v>
      </c>
      <c r="AD12" s="30"/>
      <c r="AE12" s="103">
        <f aca="true" t="shared" si="1" ref="AE12:AE28">SUM(C12:S12)</f>
        <v>35704915</v>
      </c>
      <c r="AF12" s="33"/>
      <c r="AG12" s="30">
        <v>669483</v>
      </c>
      <c r="AH12" s="34"/>
      <c r="AI12" s="30">
        <v>17159512</v>
      </c>
      <c r="AJ12" s="34"/>
      <c r="AK12" s="24"/>
      <c r="AL12" s="34"/>
      <c r="AM12" s="34">
        <f>+'Gov Fd Rv'!Q12+'Gov Fd Rv'!S12-'Gov Fnd Exp'!AC12-AG12+AI12-'Gov Fd BS'!U12+AK12</f>
        <v>0</v>
      </c>
      <c r="AN12" s="26" t="s">
        <v>224</v>
      </c>
    </row>
    <row r="13" spans="1:39" ht="12.75" customHeight="1">
      <c r="A13" s="32" t="s">
        <v>15</v>
      </c>
      <c r="B13" s="32"/>
      <c r="C13" s="30">
        <v>9107102</v>
      </c>
      <c r="D13" s="30"/>
      <c r="E13" s="30">
        <v>4648458</v>
      </c>
      <c r="F13" s="30"/>
      <c r="G13" s="30">
        <v>8140160</v>
      </c>
      <c r="H13" s="30"/>
      <c r="I13" s="30">
        <v>6978890</v>
      </c>
      <c r="J13" s="30"/>
      <c r="K13" s="30">
        <v>25186929</v>
      </c>
      <c r="L13" s="30"/>
      <c r="M13" s="30">
        <v>30859303</v>
      </c>
      <c r="N13" s="30"/>
      <c r="O13" s="30">
        <v>0</v>
      </c>
      <c r="P13" s="30"/>
      <c r="Q13" s="30">
        <v>235974</v>
      </c>
      <c r="R13" s="30"/>
      <c r="S13" s="30">
        <v>0</v>
      </c>
      <c r="T13" s="30"/>
      <c r="U13" s="30">
        <v>2338621</v>
      </c>
      <c r="V13" s="30"/>
      <c r="W13" s="30">
        <v>0</v>
      </c>
      <c r="X13" s="30"/>
      <c r="Y13" s="30">
        <v>615842</v>
      </c>
      <c r="Z13" s="30"/>
      <c r="AA13" s="30">
        <v>243669</v>
      </c>
      <c r="AB13" s="30"/>
      <c r="AC13" s="30">
        <f t="shared" si="0"/>
        <v>88354948</v>
      </c>
      <c r="AD13" s="30"/>
      <c r="AE13" s="103">
        <f t="shared" si="1"/>
        <v>85156816</v>
      </c>
      <c r="AF13" s="33"/>
      <c r="AG13" s="30">
        <v>2922311</v>
      </c>
      <c r="AH13" s="34"/>
      <c r="AI13" s="30">
        <v>38214979</v>
      </c>
      <c r="AJ13" s="34"/>
      <c r="AK13" s="24"/>
      <c r="AL13" s="34"/>
      <c r="AM13" s="34">
        <f>+'Gov Fd Rv'!Q13+'Gov Fd Rv'!S13-'Gov Fnd Exp'!AC13-AG13+AI13-'Gov Fd BS'!U13+AK13</f>
        <v>0</v>
      </c>
    </row>
    <row r="14" spans="1:39" ht="12.75" customHeight="1" hidden="1">
      <c r="A14" s="32" t="s">
        <v>16</v>
      </c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>
        <f t="shared" si="0"/>
        <v>0</v>
      </c>
      <c r="AD14" s="30"/>
      <c r="AE14" s="103">
        <f t="shared" si="1"/>
        <v>0</v>
      </c>
      <c r="AF14" s="33"/>
      <c r="AG14" s="30"/>
      <c r="AH14" s="34"/>
      <c r="AI14" s="30"/>
      <c r="AJ14" s="34"/>
      <c r="AK14" s="24"/>
      <c r="AL14" s="34"/>
      <c r="AM14" s="34">
        <f>+'Gov Fd Rv'!Q14+'Gov Fd Rv'!S14-'Gov Fnd Exp'!AC14-AG14+AI14-'Gov Fd BS'!U14+AK14</f>
        <v>0</v>
      </c>
    </row>
    <row r="15" spans="1:39" ht="12.75" customHeight="1">
      <c r="A15" s="32" t="s">
        <v>17</v>
      </c>
      <c r="B15" s="32"/>
      <c r="C15" s="30">
        <v>3735742</v>
      </c>
      <c r="D15" s="30"/>
      <c r="E15" s="30">
        <v>2191278</v>
      </c>
      <c r="F15" s="30"/>
      <c r="G15" s="30">
        <v>5518684</v>
      </c>
      <c r="H15" s="30"/>
      <c r="I15" s="30">
        <v>5866209</v>
      </c>
      <c r="J15" s="30"/>
      <c r="K15" s="30">
        <v>6418716</v>
      </c>
      <c r="L15" s="30"/>
      <c r="M15" s="30">
        <v>3623581</v>
      </c>
      <c r="N15" s="30"/>
      <c r="O15" s="30">
        <v>0</v>
      </c>
      <c r="P15" s="30"/>
      <c r="Q15" s="30">
        <v>0</v>
      </c>
      <c r="R15" s="30"/>
      <c r="S15" s="30">
        <v>1643638</v>
      </c>
      <c r="T15" s="30"/>
      <c r="U15" s="30">
        <v>5884629</v>
      </c>
      <c r="V15" s="30"/>
      <c r="W15" s="30">
        <v>0</v>
      </c>
      <c r="X15" s="30"/>
      <c r="Y15" s="30">
        <v>414654</v>
      </c>
      <c r="Z15" s="30"/>
      <c r="AA15" s="30">
        <v>69769</v>
      </c>
      <c r="AB15" s="30"/>
      <c r="AC15" s="30">
        <f t="shared" si="0"/>
        <v>35366900</v>
      </c>
      <c r="AD15" s="30"/>
      <c r="AE15" s="103">
        <f t="shared" si="1"/>
        <v>28997848</v>
      </c>
      <c r="AF15" s="33"/>
      <c r="AG15" s="30">
        <v>790000</v>
      </c>
      <c r="AH15" s="34"/>
      <c r="AI15" s="30">
        <v>28616897</v>
      </c>
      <c r="AJ15" s="34"/>
      <c r="AK15" s="24"/>
      <c r="AL15" s="34"/>
      <c r="AM15" s="34">
        <f>+'Gov Fd Rv'!Q15+'Gov Fd Rv'!S15-'Gov Fnd Exp'!AC15-AG15+AI15-'Gov Fd BS'!U15+AK15</f>
        <v>0</v>
      </c>
    </row>
    <row r="16" spans="1:39" ht="12.75" customHeight="1">
      <c r="A16" s="32" t="s">
        <v>18</v>
      </c>
      <c r="B16" s="32"/>
      <c r="C16" s="30">
        <v>8409214</v>
      </c>
      <c r="D16" s="30"/>
      <c r="E16" s="30">
        <v>3419085</v>
      </c>
      <c r="F16" s="30"/>
      <c r="G16" s="30">
        <v>8433377</v>
      </c>
      <c r="H16" s="30"/>
      <c r="I16" s="30">
        <v>5343529</v>
      </c>
      <c r="J16" s="30"/>
      <c r="K16" s="30">
        <v>11126281</v>
      </c>
      <c r="L16" s="30"/>
      <c r="M16" s="30">
        <v>11974863</v>
      </c>
      <c r="N16" s="30"/>
      <c r="O16" s="30">
        <v>320000</v>
      </c>
      <c r="P16" s="30"/>
      <c r="Q16" s="30">
        <v>0</v>
      </c>
      <c r="R16" s="30"/>
      <c r="S16" s="30">
        <v>126797</v>
      </c>
      <c r="T16" s="30"/>
      <c r="U16" s="30">
        <v>1598513</v>
      </c>
      <c r="V16" s="30"/>
      <c r="W16" s="30">
        <v>0</v>
      </c>
      <c r="X16" s="30"/>
      <c r="Y16" s="30">
        <v>654956</v>
      </c>
      <c r="Z16" s="30"/>
      <c r="AA16" s="30">
        <v>339632</v>
      </c>
      <c r="AB16" s="30"/>
      <c r="AC16" s="30">
        <f t="shared" si="0"/>
        <v>51746247</v>
      </c>
      <c r="AD16" s="30"/>
      <c r="AE16" s="103">
        <f t="shared" si="1"/>
        <v>49153146</v>
      </c>
      <c r="AF16" s="33"/>
      <c r="AG16" s="30">
        <v>1631378</v>
      </c>
      <c r="AH16" s="34"/>
      <c r="AI16" s="30">
        <v>31928908</v>
      </c>
      <c r="AJ16" s="34"/>
      <c r="AK16" s="24"/>
      <c r="AL16" s="34"/>
      <c r="AM16" s="34">
        <f>+'Gov Fd Rv'!Q16+'Gov Fd Rv'!S16-'Gov Fnd Exp'!AC16-AG16+AI16-'Gov Fd BS'!U16+AK16</f>
        <v>0</v>
      </c>
    </row>
    <row r="17" spans="1:39" ht="12.75" customHeight="1" hidden="1">
      <c r="A17" s="32" t="s">
        <v>238</v>
      </c>
      <c r="B17" s="3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>
        <f t="shared" si="0"/>
        <v>0</v>
      </c>
      <c r="AD17" s="30"/>
      <c r="AE17" s="103">
        <f t="shared" si="1"/>
        <v>0</v>
      </c>
      <c r="AF17" s="33"/>
      <c r="AG17" s="30"/>
      <c r="AH17" s="34"/>
      <c r="AI17" s="30"/>
      <c r="AJ17" s="34"/>
      <c r="AK17" s="24"/>
      <c r="AL17" s="34"/>
      <c r="AM17" s="34">
        <f>+'Gov Fd Rv'!Q17+'Gov Fd Rv'!S17-'Gov Fnd Exp'!AC17-AG17+AI17-'Gov Fd BS'!U17+AK17</f>
        <v>0</v>
      </c>
    </row>
    <row r="18" spans="1:39" ht="12.75" customHeight="1">
      <c r="A18" s="32" t="s">
        <v>19</v>
      </c>
      <c r="B18" s="32"/>
      <c r="C18" s="30">
        <v>27459038</v>
      </c>
      <c r="D18" s="30"/>
      <c r="E18" s="30">
        <v>14413062</v>
      </c>
      <c r="G18" s="30">
        <v>41027667</v>
      </c>
      <c r="H18" s="30"/>
      <c r="I18" s="30">
        <v>23817489</v>
      </c>
      <c r="J18" s="30"/>
      <c r="K18" s="30">
        <v>63830221</v>
      </c>
      <c r="L18" s="30"/>
      <c r="M18" s="30">
        <v>66298451</v>
      </c>
      <c r="N18" s="30"/>
      <c r="O18" s="30">
        <v>0</v>
      </c>
      <c r="P18" s="30"/>
      <c r="Q18" s="30">
        <v>453611</v>
      </c>
      <c r="R18" s="30"/>
      <c r="S18" s="30">
        <v>0</v>
      </c>
      <c r="T18" s="30"/>
      <c r="U18" s="30">
        <v>730315</v>
      </c>
      <c r="V18" s="30"/>
      <c r="W18" s="30">
        <v>7839719</v>
      </c>
      <c r="X18" s="30"/>
      <c r="Y18" s="30">
        <v>7879589</v>
      </c>
      <c r="Z18" s="30"/>
      <c r="AA18" s="30">
        <f>4401426+3915</f>
        <v>4405341</v>
      </c>
      <c r="AB18" s="30"/>
      <c r="AC18" s="30">
        <f t="shared" si="0"/>
        <v>258154503</v>
      </c>
      <c r="AD18" s="30"/>
      <c r="AE18" s="103">
        <f t="shared" si="1"/>
        <v>237299539</v>
      </c>
      <c r="AF18" s="33"/>
      <c r="AG18" s="30">
        <v>11954797</v>
      </c>
      <c r="AH18" s="34"/>
      <c r="AI18" s="30">
        <v>106304739</v>
      </c>
      <c r="AJ18" s="34"/>
      <c r="AK18" s="24"/>
      <c r="AL18" s="34"/>
      <c r="AM18" s="34">
        <f>+'Gov Fd Rv'!Q18+'Gov Fd Rv'!S18-'Gov Fnd Exp'!AC18-AG18+AI18-'Gov Fd BS'!U18+AK18</f>
        <v>0</v>
      </c>
    </row>
    <row r="19" spans="1:39" ht="12.75" customHeight="1">
      <c r="A19" s="32" t="s">
        <v>20</v>
      </c>
      <c r="B19" s="32"/>
      <c r="C19" s="30">
        <v>2437145</v>
      </c>
      <c r="D19" s="30"/>
      <c r="E19" s="30">
        <v>1059056</v>
      </c>
      <c r="F19" s="30"/>
      <c r="G19" s="30">
        <v>2271546</v>
      </c>
      <c r="H19" s="30"/>
      <c r="I19" s="30">
        <v>3874308</v>
      </c>
      <c r="J19" s="30"/>
      <c r="K19" s="30">
        <v>4296873</v>
      </c>
      <c r="L19" s="30"/>
      <c r="M19" s="30">
        <v>5454269</v>
      </c>
      <c r="N19" s="30"/>
      <c r="O19" s="30">
        <v>377373</v>
      </c>
      <c r="P19" s="30"/>
      <c r="Q19" s="30">
        <v>0</v>
      </c>
      <c r="R19" s="30"/>
      <c r="S19" s="30">
        <f>248998+407416+699704</f>
        <v>1356118</v>
      </c>
      <c r="T19" s="30"/>
      <c r="U19" s="30">
        <v>777878</v>
      </c>
      <c r="V19" s="30"/>
      <c r="W19" s="30">
        <v>105949</v>
      </c>
      <c r="X19" s="30"/>
      <c r="Y19" s="30">
        <v>42832</v>
      </c>
      <c r="Z19" s="30"/>
      <c r="AA19" s="30">
        <v>23030</v>
      </c>
      <c r="AB19" s="30"/>
      <c r="AC19" s="30">
        <f t="shared" si="0"/>
        <v>22076377</v>
      </c>
      <c r="AD19" s="30"/>
      <c r="AE19" s="103">
        <f t="shared" si="1"/>
        <v>21126688</v>
      </c>
      <c r="AF19" s="33"/>
      <c r="AG19" s="30">
        <v>4855</v>
      </c>
      <c r="AH19" s="34"/>
      <c r="AI19" s="30">
        <v>9634680</v>
      </c>
      <c r="AJ19" s="34"/>
      <c r="AK19" s="24"/>
      <c r="AL19" s="34"/>
      <c r="AM19" s="34">
        <f>+'Gov Fd Rv'!Q19+'Gov Fd Rv'!S19-'Gov Fnd Exp'!AC19-AG19+AI19-'Gov Fd BS'!U19+AK19</f>
        <v>0</v>
      </c>
    </row>
    <row r="20" spans="1:39" ht="12.75" customHeight="1" hidden="1">
      <c r="A20" s="23" t="s">
        <v>172</v>
      </c>
      <c r="B20" s="2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>
        <f t="shared" si="0"/>
        <v>0</v>
      </c>
      <c r="AD20" s="30"/>
      <c r="AE20" s="103">
        <f t="shared" si="1"/>
        <v>0</v>
      </c>
      <c r="AF20" s="33"/>
      <c r="AG20" s="30"/>
      <c r="AH20" s="34"/>
      <c r="AI20" s="30"/>
      <c r="AJ20" s="34"/>
      <c r="AK20" s="24"/>
      <c r="AL20" s="34"/>
      <c r="AM20" s="34">
        <f>+'Gov Fd Rv'!Q20+'Gov Fd Rv'!S20-'Gov Fnd Exp'!AC20-AG20+AI20-'Gov Fd BS'!U20+AK20</f>
        <v>0</v>
      </c>
    </row>
    <row r="21" spans="1:39" ht="12.75" customHeight="1">
      <c r="A21" s="32" t="s">
        <v>21</v>
      </c>
      <c r="B21" s="32"/>
      <c r="C21" s="30">
        <v>6257448</v>
      </c>
      <c r="D21" s="30"/>
      <c r="E21" s="30">
        <v>12478551</v>
      </c>
      <c r="F21" s="30"/>
      <c r="G21" s="30">
        <v>15560018</v>
      </c>
      <c r="H21" s="30"/>
      <c r="I21" s="30">
        <v>10787522</v>
      </c>
      <c r="J21" s="30"/>
      <c r="K21" s="30">
        <v>23011604</v>
      </c>
      <c r="L21" s="30"/>
      <c r="M21" s="30">
        <v>32653534</v>
      </c>
      <c r="N21" s="30"/>
      <c r="O21" s="30">
        <v>0</v>
      </c>
      <c r="P21" s="30"/>
      <c r="Q21" s="30">
        <v>1302900</v>
      </c>
      <c r="R21" s="30"/>
      <c r="S21" s="30">
        <v>0</v>
      </c>
      <c r="T21" s="30"/>
      <c r="U21" s="30">
        <v>2339163</v>
      </c>
      <c r="V21" s="30"/>
      <c r="W21" s="30">
        <v>0</v>
      </c>
      <c r="X21" s="30"/>
      <c r="Y21" s="30">
        <v>1325000</v>
      </c>
      <c r="Z21" s="30"/>
      <c r="AA21" s="30">
        <v>624081</v>
      </c>
      <c r="AB21" s="30"/>
      <c r="AC21" s="30">
        <f t="shared" si="0"/>
        <v>106339821</v>
      </c>
      <c r="AD21" s="30"/>
      <c r="AE21" s="103">
        <f>SUM(C21:S21)</f>
        <v>102051577</v>
      </c>
      <c r="AF21" s="33"/>
      <c r="AG21" s="30">
        <v>4046797</v>
      </c>
      <c r="AH21" s="34"/>
      <c r="AI21" s="30">
        <v>36948924</v>
      </c>
      <c r="AJ21" s="34"/>
      <c r="AK21" s="24"/>
      <c r="AL21" s="34"/>
      <c r="AM21" s="34">
        <f>+'Gov Fd Rv'!Q21+'Gov Fd Rv'!S21-'Gov Fnd Exp'!AC21-AG21+AI21-'Gov Fd BS'!U21+AK21</f>
        <v>0</v>
      </c>
    </row>
    <row r="22" spans="1:39" ht="12.75" customHeight="1">
      <c r="A22" s="32" t="s">
        <v>180</v>
      </c>
      <c r="B22" s="42"/>
      <c r="C22" s="30">
        <v>16737093</v>
      </c>
      <c r="D22" s="30"/>
      <c r="E22" s="30">
        <v>10252580</v>
      </c>
      <c r="F22" s="30"/>
      <c r="G22" s="30">
        <v>26214209</v>
      </c>
      <c r="H22" s="30"/>
      <c r="I22" s="30">
        <v>7430568</v>
      </c>
      <c r="J22" s="30"/>
      <c r="K22" s="30">
        <v>1188296</v>
      </c>
      <c r="L22" s="30"/>
      <c r="M22" s="30">
        <v>27663194</v>
      </c>
      <c r="N22" s="30"/>
      <c r="O22" s="30">
        <v>3306719</v>
      </c>
      <c r="P22" s="30"/>
      <c r="Q22" s="30">
        <v>0</v>
      </c>
      <c r="R22" s="30"/>
      <c r="S22" s="30">
        <f>400342+2685625</f>
        <v>3085967</v>
      </c>
      <c r="T22" s="30"/>
      <c r="U22" s="30">
        <v>10359064</v>
      </c>
      <c r="V22" s="30"/>
      <c r="W22" s="30">
        <v>0</v>
      </c>
      <c r="X22" s="30"/>
      <c r="Y22" s="30">
        <v>4889454</v>
      </c>
      <c r="Z22" s="30"/>
      <c r="AA22" s="30">
        <v>463702</v>
      </c>
      <c r="AB22" s="30"/>
      <c r="AC22" s="30">
        <f t="shared" si="0"/>
        <v>111590846</v>
      </c>
      <c r="AD22" s="30"/>
      <c r="AE22" s="103">
        <f t="shared" si="1"/>
        <v>95878626</v>
      </c>
      <c r="AF22" s="33"/>
      <c r="AG22" s="30">
        <f>11337433+100000</f>
        <v>11437433</v>
      </c>
      <c r="AH22" s="34"/>
      <c r="AI22" s="30">
        <v>51950329</v>
      </c>
      <c r="AJ22" s="34"/>
      <c r="AK22" s="24"/>
      <c r="AL22" s="34"/>
      <c r="AM22" s="34">
        <f>+'Gov Fd Rv'!Q22+'Gov Fd Rv'!S22-'Gov Fnd Exp'!AC22-AG22+AI22-'Gov Fd BS'!U22+AK22</f>
        <v>0</v>
      </c>
    </row>
    <row r="23" spans="1:39" ht="12.75" customHeight="1">
      <c r="A23" s="32" t="s">
        <v>22</v>
      </c>
      <c r="B23" s="32"/>
      <c r="C23" s="30">
        <v>6329122</v>
      </c>
      <c r="D23" s="30"/>
      <c r="E23" s="30">
        <v>2520358</v>
      </c>
      <c r="F23" s="30"/>
      <c r="G23" s="30">
        <v>4320826</v>
      </c>
      <c r="H23" s="30"/>
      <c r="I23" s="30">
        <v>5396167</v>
      </c>
      <c r="J23" s="30"/>
      <c r="K23" s="130">
        <v>4113851</v>
      </c>
      <c r="L23" s="30"/>
      <c r="M23" s="30">
        <v>7877437</v>
      </c>
      <c r="N23" s="30"/>
      <c r="O23" s="30">
        <v>310675</v>
      </c>
      <c r="P23" s="30"/>
      <c r="Q23" s="30">
        <v>94030</v>
      </c>
      <c r="R23" s="30"/>
      <c r="S23" s="30">
        <v>637010</v>
      </c>
      <c r="T23" s="30"/>
      <c r="U23" s="30">
        <v>854482</v>
      </c>
      <c r="V23" s="30"/>
      <c r="W23" s="30">
        <v>0</v>
      </c>
      <c r="X23" s="30"/>
      <c r="Y23" s="30">
        <v>613245</v>
      </c>
      <c r="Z23" s="30"/>
      <c r="AA23" s="30">
        <v>421509</v>
      </c>
      <c r="AB23" s="30"/>
      <c r="AC23" s="30">
        <f t="shared" si="0"/>
        <v>33488712</v>
      </c>
      <c r="AD23" s="30"/>
      <c r="AE23" s="103">
        <f t="shared" si="1"/>
        <v>31599476</v>
      </c>
      <c r="AF23" s="33"/>
      <c r="AG23" s="30">
        <f>1932+1630847</f>
        <v>1632779</v>
      </c>
      <c r="AH23" s="34"/>
      <c r="AI23" s="30">
        <v>44136375</v>
      </c>
      <c r="AJ23" s="34"/>
      <c r="AK23" s="24"/>
      <c r="AL23" s="34"/>
      <c r="AM23" s="34">
        <f>+'Gov Fd Rv'!Q23+'Gov Fd Rv'!S23-'Gov Fnd Exp'!AC23-AG23+AI23-'Gov Fd BS'!U23+AK23</f>
        <v>0</v>
      </c>
    </row>
    <row r="24" spans="1:39" ht="12.75" customHeight="1" hidden="1">
      <c r="A24" s="32" t="s">
        <v>23</v>
      </c>
      <c r="B24" s="32"/>
      <c r="C24" s="30">
        <v>6005128</v>
      </c>
      <c r="D24" s="30"/>
      <c r="E24" s="30">
        <v>5720026</v>
      </c>
      <c r="F24" s="30"/>
      <c r="G24" s="30">
        <v>7430724</v>
      </c>
      <c r="H24" s="30"/>
      <c r="I24" s="30">
        <v>10510767</v>
      </c>
      <c r="J24" s="30"/>
      <c r="K24" s="30">
        <v>9552794</v>
      </c>
      <c r="L24" s="30"/>
      <c r="M24" s="30">
        <v>28300372</v>
      </c>
      <c r="N24" s="30"/>
      <c r="O24" s="30">
        <v>1027586</v>
      </c>
      <c r="P24" s="30"/>
      <c r="Q24" s="30">
        <v>38753</v>
      </c>
      <c r="R24" s="30"/>
      <c r="S24" s="30"/>
      <c r="T24" s="30"/>
      <c r="U24" s="30">
        <v>6837032</v>
      </c>
      <c r="V24" s="30"/>
      <c r="W24" s="30"/>
      <c r="X24" s="30"/>
      <c r="Y24" s="30">
        <v>1863779</v>
      </c>
      <c r="Z24" s="30"/>
      <c r="AA24" s="30">
        <v>1003385</v>
      </c>
      <c r="AB24" s="30"/>
      <c r="AC24" s="30">
        <f t="shared" si="0"/>
        <v>78290346</v>
      </c>
      <c r="AD24" s="30"/>
      <c r="AE24" s="103">
        <f t="shared" si="1"/>
        <v>68586150</v>
      </c>
      <c r="AF24" s="33"/>
      <c r="AG24" s="30">
        <f>2164894+101694</f>
        <v>2266588</v>
      </c>
      <c r="AH24" s="34"/>
      <c r="AI24" s="30">
        <v>42294387</v>
      </c>
      <c r="AJ24" s="34"/>
      <c r="AK24" s="24"/>
      <c r="AL24" s="34"/>
      <c r="AM24" s="34">
        <f>+'Gov Fd Rv'!Q24+'Gov Fd Rv'!S24-'Gov Fnd Exp'!AC24-AG24+AI24-'Gov Fd BS'!U24+AK24</f>
        <v>0</v>
      </c>
    </row>
    <row r="25" spans="1:39" ht="12.75" customHeight="1">
      <c r="A25" s="32" t="s">
        <v>24</v>
      </c>
      <c r="B25" s="42"/>
      <c r="C25" s="30">
        <v>3855286</v>
      </c>
      <c r="D25" s="30"/>
      <c r="E25" s="30">
        <v>1863565</v>
      </c>
      <c r="F25" s="30"/>
      <c r="G25" s="30">
        <v>5174345</v>
      </c>
      <c r="H25" s="30"/>
      <c r="I25" s="30">
        <v>6937938</v>
      </c>
      <c r="J25" s="30"/>
      <c r="K25" s="30">
        <v>9516453</v>
      </c>
      <c r="L25" s="30"/>
      <c r="M25" s="30">
        <v>7312671</v>
      </c>
      <c r="N25" s="30"/>
      <c r="O25" s="30">
        <v>0</v>
      </c>
      <c r="P25" s="30"/>
      <c r="Q25" s="30">
        <v>145000</v>
      </c>
      <c r="R25" s="30"/>
      <c r="S25" s="30">
        <f>271358+30541</f>
        <v>301899</v>
      </c>
      <c r="T25" s="30"/>
      <c r="U25" s="30">
        <v>1444441</v>
      </c>
      <c r="V25" s="30"/>
      <c r="W25" s="30">
        <v>0</v>
      </c>
      <c r="X25" s="30"/>
      <c r="Y25" s="30">
        <v>350117</v>
      </c>
      <c r="Z25" s="30"/>
      <c r="AA25" s="30">
        <v>162116</v>
      </c>
      <c r="AB25" s="30"/>
      <c r="AC25" s="30">
        <f t="shared" si="0"/>
        <v>37063831</v>
      </c>
      <c r="AD25" s="30"/>
      <c r="AE25" s="103">
        <f t="shared" si="1"/>
        <v>35107157</v>
      </c>
      <c r="AF25" s="33"/>
      <c r="AG25" s="30">
        <f>618832+260077+305159</f>
        <v>1184068</v>
      </c>
      <c r="AH25" s="34"/>
      <c r="AI25" s="30">
        <v>13267445</v>
      </c>
      <c r="AJ25" s="34"/>
      <c r="AK25" s="24"/>
      <c r="AL25" s="34"/>
      <c r="AM25" s="34">
        <f>+'Gov Fd Rv'!Q25+'Gov Fd Rv'!S25-'Gov Fnd Exp'!AC25-AG25+AI25-'Gov Fd BS'!U25+AK25</f>
        <v>0</v>
      </c>
    </row>
    <row r="26" spans="1:39" ht="12.75" customHeight="1">
      <c r="A26" s="32" t="s">
        <v>241</v>
      </c>
      <c r="B26" s="32"/>
      <c r="C26" s="30">
        <v>3909667</v>
      </c>
      <c r="D26" s="30"/>
      <c r="E26" s="30">
        <v>2210445</v>
      </c>
      <c r="F26" s="30"/>
      <c r="G26" s="30">
        <v>5324787</v>
      </c>
      <c r="H26" s="30"/>
      <c r="I26" s="30">
        <v>11846803</v>
      </c>
      <c r="J26" s="30"/>
      <c r="K26" s="30">
        <v>6251419</v>
      </c>
      <c r="L26" s="30"/>
      <c r="M26" s="30">
        <v>8535518</v>
      </c>
      <c r="N26" s="30"/>
      <c r="O26" s="30">
        <v>135824</v>
      </c>
      <c r="P26" s="30"/>
      <c r="Q26" s="30">
        <v>0</v>
      </c>
      <c r="R26" s="30"/>
      <c r="S26" s="30">
        <v>0</v>
      </c>
      <c r="T26" s="30"/>
      <c r="U26" s="30">
        <v>1330716</v>
      </c>
      <c r="V26" s="30"/>
      <c r="W26" s="30">
        <v>0</v>
      </c>
      <c r="X26" s="30"/>
      <c r="Y26" s="30">
        <v>538334</v>
      </c>
      <c r="Z26" s="30"/>
      <c r="AA26" s="30">
        <v>842063</v>
      </c>
      <c r="AB26" s="30"/>
      <c r="AC26" s="30">
        <f t="shared" si="0"/>
        <v>40925576</v>
      </c>
      <c r="AD26" s="30"/>
      <c r="AE26" s="103">
        <f t="shared" si="1"/>
        <v>38214463</v>
      </c>
      <c r="AF26" s="33"/>
      <c r="AG26" s="30">
        <v>1781789</v>
      </c>
      <c r="AH26" s="34"/>
      <c r="AI26" s="30">
        <v>16812965</v>
      </c>
      <c r="AJ26" s="34"/>
      <c r="AK26" s="24"/>
      <c r="AL26" s="34"/>
      <c r="AM26" s="34">
        <f>+'Gov Fd Rv'!Q26+'Gov Fd Rv'!S26-'Gov Fnd Exp'!AC26-AG26+AI26-'Gov Fd BS'!U26+AK26</f>
        <v>0</v>
      </c>
    </row>
    <row r="27" spans="1:39" ht="12.75" customHeight="1" hidden="1">
      <c r="A27" s="32" t="s">
        <v>25</v>
      </c>
      <c r="B27" s="3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>
        <f t="shared" si="0"/>
        <v>0</v>
      </c>
      <c r="AD27" s="30"/>
      <c r="AE27" s="103">
        <f t="shared" si="1"/>
        <v>0</v>
      </c>
      <c r="AF27" s="33"/>
      <c r="AG27" s="30"/>
      <c r="AH27" s="34"/>
      <c r="AI27" s="30"/>
      <c r="AJ27" s="34"/>
      <c r="AK27" s="24"/>
      <c r="AL27" s="34"/>
      <c r="AM27" s="34">
        <f>+'Gov Fd Rv'!Q27+'Gov Fd Rv'!S27-'Gov Fnd Exp'!AC27-AG27+AI27-'Gov Fd BS'!U27+AK27</f>
        <v>0</v>
      </c>
    </row>
    <row r="28" spans="1:39" ht="12.75" customHeight="1" hidden="1">
      <c r="A28" s="32" t="s">
        <v>26</v>
      </c>
      <c r="B28" s="32"/>
      <c r="C28" s="30">
        <v>4496947</v>
      </c>
      <c r="D28" s="30"/>
      <c r="E28" s="30">
        <v>3179131</v>
      </c>
      <c r="F28" s="30"/>
      <c r="G28" s="30">
        <v>5416578</v>
      </c>
      <c r="H28" s="30"/>
      <c r="I28" s="30">
        <v>5717227</v>
      </c>
      <c r="J28" s="30"/>
      <c r="K28" s="30">
        <v>396926</v>
      </c>
      <c r="L28" s="30"/>
      <c r="M28" s="30">
        <v>13617516</v>
      </c>
      <c r="N28" s="30"/>
      <c r="O28" s="30">
        <v>1559021</v>
      </c>
      <c r="P28" s="30"/>
      <c r="Q28" s="30"/>
      <c r="R28" s="30"/>
      <c r="S28" s="30"/>
      <c r="T28" s="30"/>
      <c r="U28" s="30">
        <v>533556</v>
      </c>
      <c r="V28" s="30"/>
      <c r="W28" s="30">
        <v>269827</v>
      </c>
      <c r="X28" s="30"/>
      <c r="Y28" s="30">
        <v>1074438</v>
      </c>
      <c r="Z28" s="30"/>
      <c r="AA28" s="30">
        <v>311979</v>
      </c>
      <c r="AB28" s="30"/>
      <c r="AC28" s="30">
        <f t="shared" si="0"/>
        <v>36573146</v>
      </c>
      <c r="AD28" s="30"/>
      <c r="AE28" s="103">
        <f t="shared" si="1"/>
        <v>34383346</v>
      </c>
      <c r="AF28" s="33"/>
      <c r="AG28" s="30">
        <f>695759+1823263</f>
        <v>2519022</v>
      </c>
      <c r="AH28" s="34"/>
      <c r="AI28" s="30">
        <v>16743826</v>
      </c>
      <c r="AJ28" s="34"/>
      <c r="AK28" s="24"/>
      <c r="AL28" s="34"/>
      <c r="AM28" s="34">
        <f>+'Gov Fd Rv'!Q28+'Gov Fd Rv'!S28-'Gov Fnd Exp'!AC28-AG28+AI28-'Gov Fd BS'!U28+AK28</f>
        <v>0</v>
      </c>
    </row>
    <row r="29" spans="1:39" ht="12.75" customHeight="1">
      <c r="A29" s="32" t="s">
        <v>27</v>
      </c>
      <c r="B29" s="42"/>
      <c r="C29" s="30">
        <v>4704285</v>
      </c>
      <c r="D29" s="30"/>
      <c r="E29" s="30">
        <v>1675505</v>
      </c>
      <c r="F29" s="30"/>
      <c r="G29" s="30">
        <v>4445376</v>
      </c>
      <c r="H29" s="30"/>
      <c r="I29" s="30">
        <v>4335031</v>
      </c>
      <c r="J29" s="30"/>
      <c r="K29" s="30">
        <v>4763504</v>
      </c>
      <c r="L29" s="30"/>
      <c r="M29" s="30">
        <v>5066437</v>
      </c>
      <c r="N29" s="30"/>
      <c r="O29" s="30">
        <v>712944</v>
      </c>
      <c r="P29" s="30"/>
      <c r="Q29" s="30">
        <v>0</v>
      </c>
      <c r="R29" s="30"/>
      <c r="S29" s="30">
        <v>453622</v>
      </c>
      <c r="T29" s="30"/>
      <c r="U29" s="30">
        <v>5589423</v>
      </c>
      <c r="V29" s="30"/>
      <c r="W29" s="30">
        <v>0</v>
      </c>
      <c r="X29" s="30"/>
      <c r="Y29" s="30">
        <v>1045257</v>
      </c>
      <c r="Z29" s="30"/>
      <c r="AA29" s="30">
        <v>256076</v>
      </c>
      <c r="AB29" s="30"/>
      <c r="AC29" s="30">
        <f aca="true" t="shared" si="2" ref="AC29:AC93">SUM(C29:AA29)</f>
        <v>33047460</v>
      </c>
      <c r="AD29" s="30"/>
      <c r="AE29" s="103">
        <f aca="true" t="shared" si="3" ref="AE29:AE93">SUM(C29:S29)</f>
        <v>26156704</v>
      </c>
      <c r="AF29" s="33"/>
      <c r="AG29" s="30">
        <v>1920139</v>
      </c>
      <c r="AH29" s="34"/>
      <c r="AI29" s="30">
        <v>26167986</v>
      </c>
      <c r="AJ29" s="34"/>
      <c r="AK29" s="24"/>
      <c r="AL29" s="34"/>
      <c r="AM29" s="34">
        <f>+'Gov Fd Rv'!Q29+'Gov Fd Rv'!S29-'Gov Fnd Exp'!AC29-AG29+AI29-'Gov Fd BS'!U29+AK29</f>
        <v>0</v>
      </c>
    </row>
    <row r="30" spans="1:39" ht="12.75" customHeight="1">
      <c r="A30" s="32" t="s">
        <v>28</v>
      </c>
      <c r="B30" s="32"/>
      <c r="C30" s="30">
        <v>16122685</v>
      </c>
      <c r="D30" s="30"/>
      <c r="E30" s="30">
        <v>8504308</v>
      </c>
      <c r="F30" s="30"/>
      <c r="G30" s="30">
        <v>34926053</v>
      </c>
      <c r="H30" s="30"/>
      <c r="I30" s="30">
        <v>12245317</v>
      </c>
      <c r="J30" s="30"/>
      <c r="K30" s="30">
        <v>17766506</v>
      </c>
      <c r="L30" s="30"/>
      <c r="M30" s="30">
        <v>8348845</v>
      </c>
      <c r="N30" s="30"/>
      <c r="O30" s="30">
        <v>0</v>
      </c>
      <c r="P30" s="30"/>
      <c r="Q30" s="30">
        <v>9006</v>
      </c>
      <c r="R30" s="30"/>
      <c r="S30" s="30">
        <v>0</v>
      </c>
      <c r="T30" s="30"/>
      <c r="U30" s="30">
        <v>3580646</v>
      </c>
      <c r="V30" s="30"/>
      <c r="W30" s="30">
        <f>4644+267324+250000+292000</f>
        <v>813968</v>
      </c>
      <c r="X30" s="30"/>
      <c r="Y30" s="30">
        <v>3274800</v>
      </c>
      <c r="Z30" s="30"/>
      <c r="AA30" s="30">
        <v>1616219</v>
      </c>
      <c r="AB30" s="30"/>
      <c r="AC30" s="30">
        <f t="shared" si="2"/>
        <v>107208353</v>
      </c>
      <c r="AD30" s="30"/>
      <c r="AE30" s="103">
        <f t="shared" si="3"/>
        <v>97922720</v>
      </c>
      <c r="AF30" s="33"/>
      <c r="AG30" s="30">
        <v>17012132</v>
      </c>
      <c r="AH30" s="34"/>
      <c r="AI30" s="30">
        <v>84452284</v>
      </c>
      <c r="AJ30" s="34"/>
      <c r="AK30" s="24"/>
      <c r="AL30" s="34"/>
      <c r="AM30" s="34">
        <f>+'Gov Fd Rv'!Q30+'Gov Fd Rv'!S30-'Gov Fnd Exp'!AC30-AG30+AI30-'Gov Fd BS'!U30+AK30</f>
        <v>0</v>
      </c>
    </row>
    <row r="31" spans="1:39" ht="12.75" customHeight="1">
      <c r="A31" s="32" t="s">
        <v>29</v>
      </c>
      <c r="B31" s="32"/>
      <c r="C31" s="30">
        <v>10803077</v>
      </c>
      <c r="D31" s="30"/>
      <c r="E31" s="30">
        <v>7059477</v>
      </c>
      <c r="F31" s="30"/>
      <c r="G31" s="30">
        <v>9918634</v>
      </c>
      <c r="H31" s="30"/>
      <c r="I31" s="30">
        <v>6720713</v>
      </c>
      <c r="J31" s="30"/>
      <c r="K31" s="30">
        <v>8933605</v>
      </c>
      <c r="L31" s="30"/>
      <c r="M31" s="30">
        <v>8114631</v>
      </c>
      <c r="N31" s="30"/>
      <c r="O31" s="30">
        <v>2352891</v>
      </c>
      <c r="P31" s="30"/>
      <c r="Q31" s="30">
        <v>0</v>
      </c>
      <c r="R31" s="30"/>
      <c r="S31" s="30">
        <v>0</v>
      </c>
      <c r="T31" s="30"/>
      <c r="U31" s="30">
        <v>35419</v>
      </c>
      <c r="V31" s="30"/>
      <c r="W31" s="30">
        <v>847046</v>
      </c>
      <c r="X31" s="30"/>
      <c r="Y31" s="30">
        <v>1582461</v>
      </c>
      <c r="Z31" s="30"/>
      <c r="AA31" s="30">
        <v>751401</v>
      </c>
      <c r="AB31" s="30"/>
      <c r="AC31" s="30">
        <f t="shared" si="2"/>
        <v>57119355</v>
      </c>
      <c r="AD31" s="30"/>
      <c r="AE31" s="103">
        <f t="shared" si="3"/>
        <v>53903028</v>
      </c>
      <c r="AF31" s="33"/>
      <c r="AG31" s="30">
        <v>4140420</v>
      </c>
      <c r="AH31" s="34"/>
      <c r="AI31" s="30">
        <v>24974910</v>
      </c>
      <c r="AJ31" s="34"/>
      <c r="AK31" s="24"/>
      <c r="AL31" s="34"/>
      <c r="AM31" s="34">
        <f>+'Gov Fd Rv'!Q31+'Gov Fd Rv'!S31-'Gov Fnd Exp'!AC31-AG31+AI31-'Gov Fd BS'!U31+AK31</f>
        <v>0</v>
      </c>
    </row>
    <row r="32" spans="1:39" ht="12.75" customHeight="1">
      <c r="A32" s="32" t="s">
        <v>30</v>
      </c>
      <c r="B32" s="32"/>
      <c r="C32" s="30">
        <v>10143234</v>
      </c>
      <c r="D32" s="30"/>
      <c r="E32" s="30">
        <v>6618875</v>
      </c>
      <c r="F32" s="30"/>
      <c r="G32" s="30">
        <v>15866574</v>
      </c>
      <c r="H32" s="30"/>
      <c r="I32" s="30">
        <v>8458971</v>
      </c>
      <c r="J32" s="30"/>
      <c r="K32" s="30">
        <v>25789011</v>
      </c>
      <c r="L32" s="30"/>
      <c r="M32" s="30">
        <v>21706586</v>
      </c>
      <c r="N32" s="30"/>
      <c r="O32" s="30">
        <v>835485</v>
      </c>
      <c r="P32" s="30"/>
      <c r="Q32" s="30">
        <v>0</v>
      </c>
      <c r="R32" s="30"/>
      <c r="S32" s="30">
        <f>108855+21898</f>
        <v>130753</v>
      </c>
      <c r="T32" s="30"/>
      <c r="U32" s="30">
        <v>2465195</v>
      </c>
      <c r="V32" s="30"/>
      <c r="W32" s="30">
        <v>2130719</v>
      </c>
      <c r="X32" s="30"/>
      <c r="Y32" s="30">
        <v>1839678</v>
      </c>
      <c r="Z32" s="30"/>
      <c r="AA32" s="30">
        <v>710722</v>
      </c>
      <c r="AB32" s="30"/>
      <c r="AC32" s="30">
        <f t="shared" si="2"/>
        <v>96695803</v>
      </c>
      <c r="AD32" s="30"/>
      <c r="AE32" s="103">
        <f t="shared" si="3"/>
        <v>89549489</v>
      </c>
      <c r="AF32" s="33"/>
      <c r="AG32" s="30">
        <v>4433330</v>
      </c>
      <c r="AH32" s="34"/>
      <c r="AI32" s="30">
        <v>49345351</v>
      </c>
      <c r="AJ32" s="34"/>
      <c r="AK32" s="24"/>
      <c r="AL32" s="34"/>
      <c r="AM32" s="34">
        <f>+'Gov Fd Rv'!Q32+'Gov Fd Rv'!S32-'Gov Fnd Exp'!AC32-AG32+AI32-'Gov Fd BS'!U32+AK32</f>
        <v>-20</v>
      </c>
    </row>
    <row r="33" spans="1:39" ht="12.75" customHeight="1" hidden="1">
      <c r="A33" s="32" t="s">
        <v>237</v>
      </c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>
        <f t="shared" si="2"/>
        <v>0</v>
      </c>
      <c r="AD33" s="30"/>
      <c r="AE33" s="103">
        <f t="shared" si="3"/>
        <v>0</v>
      </c>
      <c r="AF33" s="33"/>
      <c r="AG33" s="30"/>
      <c r="AH33" s="34"/>
      <c r="AI33" s="30"/>
      <c r="AJ33" s="34"/>
      <c r="AK33" s="24"/>
      <c r="AL33" s="34"/>
      <c r="AM33" s="34">
        <f>+'Gov Fd Rv'!Q33+'Gov Fd Rv'!S33-'Gov Fnd Exp'!AC33-AG33+AI33-'Gov Fd BS'!U33+AK33</f>
        <v>0</v>
      </c>
    </row>
    <row r="34" spans="1:39" ht="12.75" customHeight="1">
      <c r="A34" s="32" t="s">
        <v>32</v>
      </c>
      <c r="B34" s="32"/>
      <c r="C34" s="30">
        <v>102520000</v>
      </c>
      <c r="D34" s="30"/>
      <c r="E34" s="30">
        <v>71452000</v>
      </c>
      <c r="F34" s="30"/>
      <c r="G34" s="30">
        <v>135431000</v>
      </c>
      <c r="H34" s="30"/>
      <c r="I34" s="30">
        <v>62365000</v>
      </c>
      <c r="J34" s="30"/>
      <c r="K34" s="30">
        <v>323713000</v>
      </c>
      <c r="L34" s="30"/>
      <c r="M34" s="30">
        <v>309878000</v>
      </c>
      <c r="N34" s="30"/>
      <c r="O34" s="30">
        <v>8156000</v>
      </c>
      <c r="P34" s="30"/>
      <c r="Q34" s="30">
        <v>18196000</v>
      </c>
      <c r="R34" s="30"/>
      <c r="S34" s="30">
        <v>22000</v>
      </c>
      <c r="T34" s="30"/>
      <c r="U34" s="30">
        <v>21296000</v>
      </c>
      <c r="V34" s="30"/>
      <c r="W34" s="30">
        <v>16515000</v>
      </c>
      <c r="X34" s="30"/>
      <c r="Y34" s="30">
        <v>26761000</v>
      </c>
      <c r="Z34" s="30"/>
      <c r="AA34" s="30">
        <v>15830000</v>
      </c>
      <c r="AB34" s="30"/>
      <c r="AC34" s="30">
        <f t="shared" si="2"/>
        <v>1112135000</v>
      </c>
      <c r="AD34" s="30"/>
      <c r="AE34" s="103">
        <f t="shared" si="3"/>
        <v>1031733000</v>
      </c>
      <c r="AF34" s="33"/>
      <c r="AG34" s="30">
        <v>34825000</v>
      </c>
      <c r="AH34" s="34"/>
      <c r="AI34" s="30">
        <v>768998000</v>
      </c>
      <c r="AJ34" s="34"/>
      <c r="AK34" s="24"/>
      <c r="AL34" s="34"/>
      <c r="AM34" s="34">
        <f>+'Gov Fd Rv'!Q34+'Gov Fd Rv'!S34-'Gov Fnd Exp'!AC34-AG34+AI34-'Gov Fd BS'!U34+AK34</f>
        <v>0</v>
      </c>
    </row>
    <row r="35" spans="1:39" ht="12.75" customHeight="1">
      <c r="A35" s="32" t="s">
        <v>33</v>
      </c>
      <c r="B35" s="32"/>
      <c r="C35" s="30">
        <v>4810324</v>
      </c>
      <c r="D35" s="30"/>
      <c r="E35" s="30">
        <v>1723446</v>
      </c>
      <c r="F35" s="30"/>
      <c r="G35" s="30">
        <v>8297819</v>
      </c>
      <c r="H35" s="30"/>
      <c r="I35" s="30">
        <v>4065795</v>
      </c>
      <c r="J35" s="30"/>
      <c r="K35" s="30">
        <v>6447967</v>
      </c>
      <c r="L35" s="30"/>
      <c r="M35" s="30">
        <v>4703201</v>
      </c>
      <c r="N35" s="30"/>
      <c r="O35" s="30">
        <v>1038380</v>
      </c>
      <c r="P35" s="30"/>
      <c r="Q35" s="30">
        <v>0</v>
      </c>
      <c r="R35" s="30"/>
      <c r="S35" s="30">
        <v>2852</v>
      </c>
      <c r="T35" s="30"/>
      <c r="U35" s="30">
        <v>3054181</v>
      </c>
      <c r="V35" s="30"/>
      <c r="W35" s="30">
        <v>815793</v>
      </c>
      <c r="X35" s="30"/>
      <c r="Y35" s="30">
        <v>374563</v>
      </c>
      <c r="Z35" s="30"/>
      <c r="AA35" s="30">
        <v>57487</v>
      </c>
      <c r="AB35" s="30"/>
      <c r="AC35" s="30">
        <f t="shared" si="2"/>
        <v>35391808</v>
      </c>
      <c r="AD35" s="30"/>
      <c r="AE35" s="103">
        <f t="shared" si="3"/>
        <v>31089784</v>
      </c>
      <c r="AF35" s="33"/>
      <c r="AG35" s="30">
        <v>619929</v>
      </c>
      <c r="AH35" s="34"/>
      <c r="AI35" s="30">
        <v>29346533</v>
      </c>
      <c r="AJ35" s="34"/>
      <c r="AK35" s="24"/>
      <c r="AL35" s="34"/>
      <c r="AM35" s="34">
        <f>+'Gov Fd Rv'!Q35+'Gov Fd Rv'!S35-'Gov Fnd Exp'!AC35-AG35+AI35-'Gov Fd BS'!U35+AK35</f>
        <v>0</v>
      </c>
    </row>
    <row r="36" spans="1:39" ht="12.75" customHeight="1">
      <c r="A36" s="32" t="s">
        <v>34</v>
      </c>
      <c r="B36" s="32"/>
      <c r="C36" s="30">
        <v>4483211</v>
      </c>
      <c r="D36" s="30"/>
      <c r="E36" s="30">
        <v>2173435</v>
      </c>
      <c r="F36" s="30"/>
      <c r="G36" s="30">
        <v>5464910</v>
      </c>
      <c r="H36" s="30"/>
      <c r="I36" s="30">
        <v>6376867</v>
      </c>
      <c r="J36" s="30"/>
      <c r="K36" s="30">
        <v>2920838</v>
      </c>
      <c r="L36" s="30"/>
      <c r="M36" s="30">
        <v>6886152</v>
      </c>
      <c r="N36" s="30"/>
      <c r="O36" s="30">
        <v>1028772</v>
      </c>
      <c r="P36" s="30"/>
      <c r="Q36" s="30">
        <v>0</v>
      </c>
      <c r="R36" s="30"/>
      <c r="S36" s="30">
        <v>0</v>
      </c>
      <c r="T36" s="30"/>
      <c r="U36" s="30">
        <v>2138627</v>
      </c>
      <c r="V36" s="30"/>
      <c r="W36" s="30">
        <v>0</v>
      </c>
      <c r="X36" s="30"/>
      <c r="Y36" s="30">
        <v>177883</v>
      </c>
      <c r="Z36" s="30"/>
      <c r="AA36" s="30">
        <v>102742</v>
      </c>
      <c r="AB36" s="30"/>
      <c r="AC36" s="30">
        <f t="shared" si="2"/>
        <v>31753437</v>
      </c>
      <c r="AD36" s="30"/>
      <c r="AE36" s="103">
        <f t="shared" si="3"/>
        <v>29334185</v>
      </c>
      <c r="AF36" s="33"/>
      <c r="AG36" s="30">
        <v>1325049</v>
      </c>
      <c r="AH36" s="34"/>
      <c r="AI36" s="30">
        <v>5955987</v>
      </c>
      <c r="AJ36" s="34"/>
      <c r="AK36" s="24"/>
      <c r="AL36" s="34"/>
      <c r="AM36" s="34">
        <f>+'Gov Fd Rv'!Q36+'Gov Fd Rv'!S36-'Gov Fnd Exp'!AC36-AG36+AI36-'Gov Fd BS'!U36+AK36</f>
        <v>0</v>
      </c>
    </row>
    <row r="37" spans="1:39" ht="12.75" customHeight="1">
      <c r="A37" s="32" t="s">
        <v>35</v>
      </c>
      <c r="B37" s="32"/>
      <c r="C37" s="30">
        <v>10503362</v>
      </c>
      <c r="D37" s="30"/>
      <c r="E37" s="30">
        <v>4015061</v>
      </c>
      <c r="F37" s="30"/>
      <c r="G37" s="30">
        <v>11778850</v>
      </c>
      <c r="H37" s="30"/>
      <c r="I37" s="30">
        <v>6354081</v>
      </c>
      <c r="J37" s="30"/>
      <c r="K37" s="30">
        <v>8888432</v>
      </c>
      <c r="L37" s="30"/>
      <c r="M37" s="30">
        <v>28874773</v>
      </c>
      <c r="N37" s="30"/>
      <c r="O37" s="30">
        <v>962187</v>
      </c>
      <c r="P37" s="30"/>
      <c r="Q37" s="30">
        <v>0</v>
      </c>
      <c r="R37" s="30"/>
      <c r="S37" s="30">
        <v>0</v>
      </c>
      <c r="T37" s="30"/>
      <c r="U37" s="30">
        <v>8493712</v>
      </c>
      <c r="V37" s="30"/>
      <c r="W37" s="30">
        <v>0</v>
      </c>
      <c r="X37" s="30"/>
      <c r="Y37" s="30">
        <v>409255</v>
      </c>
      <c r="Z37" s="30"/>
      <c r="AA37" s="30">
        <v>153255</v>
      </c>
      <c r="AB37" s="30"/>
      <c r="AC37" s="30">
        <f>SUM(C37:AA37)</f>
        <v>80432968</v>
      </c>
      <c r="AD37" s="30"/>
      <c r="AE37" s="103">
        <f t="shared" si="3"/>
        <v>71376746</v>
      </c>
      <c r="AF37" s="33"/>
      <c r="AG37" s="30">
        <v>3801200</v>
      </c>
      <c r="AH37" s="34"/>
      <c r="AI37" s="30">
        <v>36511260</v>
      </c>
      <c r="AJ37" s="34"/>
      <c r="AK37" s="24"/>
      <c r="AL37" s="34"/>
      <c r="AM37" s="34">
        <f>+'Gov Fd Rv'!Q37+'Gov Fd Rv'!S37-'Gov Fnd Exp'!AC37-AG37+AI37-'Gov Fd BS'!U37+AK37</f>
        <v>0</v>
      </c>
    </row>
    <row r="38" spans="1:39" ht="12.75" customHeight="1">
      <c r="A38" s="32" t="s">
        <v>181</v>
      </c>
      <c r="B38" s="32"/>
      <c r="C38" s="30">
        <v>14887283</v>
      </c>
      <c r="D38" s="30"/>
      <c r="E38" s="30">
        <v>6553419</v>
      </c>
      <c r="F38" s="30"/>
      <c r="G38" s="30">
        <v>20086813</v>
      </c>
      <c r="H38" s="30"/>
      <c r="I38" s="30">
        <v>9312649</v>
      </c>
      <c r="J38" s="30"/>
      <c r="K38" s="30">
        <v>22519725</v>
      </c>
      <c r="L38" s="30"/>
      <c r="M38" s="30">
        <v>26704785</v>
      </c>
      <c r="N38" s="30"/>
      <c r="O38" s="30">
        <v>2425559</v>
      </c>
      <c r="P38" s="30"/>
      <c r="Q38" s="30">
        <v>2894778</v>
      </c>
      <c r="R38" s="30"/>
      <c r="S38" s="30">
        <v>0</v>
      </c>
      <c r="T38" s="30"/>
      <c r="U38" s="30">
        <v>3811</v>
      </c>
      <c r="V38" s="30"/>
      <c r="W38" s="30">
        <v>0</v>
      </c>
      <c r="X38" s="30"/>
      <c r="Y38" s="30">
        <v>580000</v>
      </c>
      <c r="Z38" s="30"/>
      <c r="AA38" s="30">
        <v>1069834</v>
      </c>
      <c r="AB38" s="30"/>
      <c r="AC38" s="30">
        <f t="shared" si="2"/>
        <v>107038656</v>
      </c>
      <c r="AD38" s="30"/>
      <c r="AE38" s="103">
        <f t="shared" si="3"/>
        <v>105385011</v>
      </c>
      <c r="AF38" s="33"/>
      <c r="AG38" s="30">
        <v>3088637</v>
      </c>
      <c r="AH38" s="34"/>
      <c r="AI38" s="30">
        <v>59350905</v>
      </c>
      <c r="AJ38" s="34"/>
      <c r="AK38" s="24"/>
      <c r="AL38" s="34"/>
      <c r="AM38" s="34">
        <f>+'Gov Fd Rv'!Q38+'Gov Fd Rv'!S38-'Gov Fnd Exp'!AC38-AG38+AI38-'Gov Fd BS'!U38+AK38</f>
        <v>0</v>
      </c>
    </row>
    <row r="39" spans="1:39" ht="12.75" customHeight="1" hidden="1">
      <c r="A39" s="32" t="s">
        <v>242</v>
      </c>
      <c r="B39" s="32"/>
      <c r="C39" s="24"/>
      <c r="D39" s="30"/>
      <c r="E39" s="24"/>
      <c r="F39" s="30"/>
      <c r="G39" s="24"/>
      <c r="H39" s="30"/>
      <c r="I39" s="24"/>
      <c r="J39" s="30"/>
      <c r="K39" s="24"/>
      <c r="L39" s="30"/>
      <c r="M39" s="24"/>
      <c r="N39" s="30"/>
      <c r="O39" s="24"/>
      <c r="P39" s="30"/>
      <c r="Q39" s="24"/>
      <c r="R39" s="30"/>
      <c r="S39" s="24"/>
      <c r="T39" s="30"/>
      <c r="U39" s="24"/>
      <c r="V39" s="30"/>
      <c r="W39" s="24"/>
      <c r="X39" s="30"/>
      <c r="Y39" s="24"/>
      <c r="Z39" s="30"/>
      <c r="AA39" s="24"/>
      <c r="AB39" s="30"/>
      <c r="AC39" s="30">
        <f t="shared" si="2"/>
        <v>0</v>
      </c>
      <c r="AD39" s="30"/>
      <c r="AE39" s="103">
        <f t="shared" si="3"/>
        <v>0</v>
      </c>
      <c r="AF39" s="33"/>
      <c r="AG39" s="24"/>
      <c r="AH39" s="34"/>
      <c r="AI39" s="24"/>
      <c r="AJ39" s="34"/>
      <c r="AK39" s="24"/>
      <c r="AL39" s="34"/>
      <c r="AM39" s="34">
        <f>+'Gov Fd Rv'!Q39+'Gov Fd Rv'!S39-'Gov Fnd Exp'!AC39-AG39+AI39-'Gov Fd BS'!U39+AK39</f>
        <v>0</v>
      </c>
    </row>
    <row r="40" spans="1:39" ht="12.75" customHeight="1" hidden="1">
      <c r="A40" s="32" t="s">
        <v>37</v>
      </c>
      <c r="B40" s="32"/>
      <c r="C40" s="24"/>
      <c r="D40" s="30"/>
      <c r="E40" s="24"/>
      <c r="F40" s="30"/>
      <c r="G40" s="24"/>
      <c r="H40" s="30"/>
      <c r="I40" s="24"/>
      <c r="J40" s="30"/>
      <c r="K40" s="24"/>
      <c r="L40" s="30"/>
      <c r="M40" s="24"/>
      <c r="N40" s="30"/>
      <c r="O40" s="24"/>
      <c r="P40" s="30"/>
      <c r="Q40" s="24"/>
      <c r="R40" s="30"/>
      <c r="S40" s="24"/>
      <c r="T40" s="30"/>
      <c r="U40" s="24"/>
      <c r="V40" s="30"/>
      <c r="W40" s="24"/>
      <c r="X40" s="30"/>
      <c r="Y40" s="24"/>
      <c r="Z40" s="30"/>
      <c r="AA40" s="24"/>
      <c r="AB40" s="30"/>
      <c r="AC40" s="30">
        <f t="shared" si="2"/>
        <v>0</v>
      </c>
      <c r="AD40" s="30"/>
      <c r="AE40" s="103">
        <f>SUM(C40:S40)</f>
        <v>0</v>
      </c>
      <c r="AF40" s="33"/>
      <c r="AG40" s="24"/>
      <c r="AH40" s="34"/>
      <c r="AI40" s="24"/>
      <c r="AJ40" s="34"/>
      <c r="AK40" s="24"/>
      <c r="AL40" s="34"/>
      <c r="AM40" s="34">
        <f>+'Gov Fd Rv'!Q40+'Gov Fd Rv'!S40-'Gov Fnd Exp'!AC40-AG40+AI40-'Gov Fd BS'!U40+AK40</f>
        <v>0</v>
      </c>
    </row>
    <row r="41" spans="1:39" ht="12.75" customHeight="1">
      <c r="A41" s="32" t="s">
        <v>38</v>
      </c>
      <c r="B41" s="32"/>
      <c r="C41" s="24">
        <v>6273123</v>
      </c>
      <c r="D41" s="30"/>
      <c r="E41" s="24">
        <v>3537108</v>
      </c>
      <c r="F41" s="30"/>
      <c r="G41" s="24">
        <v>7548928</v>
      </c>
      <c r="H41" s="30"/>
      <c r="I41" s="24">
        <v>4877023</v>
      </c>
      <c r="J41" s="30"/>
      <c r="K41" s="24">
        <v>17670767</v>
      </c>
      <c r="L41" s="30"/>
      <c r="M41" s="24">
        <v>8787212</v>
      </c>
      <c r="N41" s="30"/>
      <c r="O41" s="24">
        <v>154948</v>
      </c>
      <c r="P41" s="30"/>
      <c r="Q41" s="24">
        <v>408057</v>
      </c>
      <c r="R41" s="30"/>
      <c r="S41" s="24">
        <v>0</v>
      </c>
      <c r="T41" s="30"/>
      <c r="U41" s="24">
        <v>5161871</v>
      </c>
      <c r="V41" s="30"/>
      <c r="W41" s="24">
        <v>0</v>
      </c>
      <c r="X41" s="30"/>
      <c r="Y41" s="24">
        <v>1429955</v>
      </c>
      <c r="Z41" s="30"/>
      <c r="AA41" s="24">
        <v>563336</v>
      </c>
      <c r="AB41" s="30"/>
      <c r="AC41" s="30">
        <f t="shared" si="2"/>
        <v>56412328</v>
      </c>
      <c r="AD41" s="30"/>
      <c r="AE41" s="103">
        <f t="shared" si="3"/>
        <v>49257166</v>
      </c>
      <c r="AF41" s="33"/>
      <c r="AG41" s="24">
        <v>3642917</v>
      </c>
      <c r="AH41" s="34"/>
      <c r="AI41" s="24">
        <v>34718862</v>
      </c>
      <c r="AJ41" s="34"/>
      <c r="AK41" s="24"/>
      <c r="AL41" s="34"/>
      <c r="AM41" s="34">
        <f>+'Gov Fd Rv'!Q41+'Gov Fd Rv'!S41-'Gov Fnd Exp'!AC41-AG41+AI41-'Gov Fd BS'!U41+AK41</f>
        <v>0</v>
      </c>
    </row>
    <row r="42" spans="1:39" ht="12.75" customHeight="1" hidden="1">
      <c r="A42" s="32" t="s">
        <v>168</v>
      </c>
      <c r="B42" s="32"/>
      <c r="C42" s="24"/>
      <c r="D42" s="30"/>
      <c r="E42" s="24"/>
      <c r="F42" s="30"/>
      <c r="G42" s="24"/>
      <c r="H42" s="30"/>
      <c r="I42" s="24"/>
      <c r="J42" s="30"/>
      <c r="K42" s="24"/>
      <c r="L42" s="30"/>
      <c r="M42" s="24"/>
      <c r="N42" s="30"/>
      <c r="O42" s="24"/>
      <c r="P42" s="30"/>
      <c r="Q42" s="24"/>
      <c r="R42" s="30"/>
      <c r="S42" s="24"/>
      <c r="T42" s="30"/>
      <c r="U42" s="24"/>
      <c r="V42" s="30"/>
      <c r="W42" s="24"/>
      <c r="X42" s="30"/>
      <c r="Y42" s="24"/>
      <c r="Z42" s="30"/>
      <c r="AA42" s="24"/>
      <c r="AB42" s="30"/>
      <c r="AC42" s="30">
        <f t="shared" si="2"/>
        <v>0</v>
      </c>
      <c r="AD42" s="30"/>
      <c r="AE42" s="103">
        <f t="shared" si="3"/>
        <v>0</v>
      </c>
      <c r="AF42" s="33"/>
      <c r="AG42" s="24"/>
      <c r="AH42" s="34"/>
      <c r="AI42" s="24"/>
      <c r="AJ42" s="34"/>
      <c r="AK42" s="24"/>
      <c r="AL42" s="34"/>
      <c r="AM42" s="34">
        <f>+'Gov Fd Rv'!Q42+'Gov Fd Rv'!S42-'Gov Fnd Exp'!AC42-AG42+AI42-'Gov Fd BS'!U42+AK42</f>
        <v>0</v>
      </c>
    </row>
    <row r="43" spans="1:39" ht="12.75" customHeight="1" hidden="1">
      <c r="A43" s="32" t="s">
        <v>39</v>
      </c>
      <c r="B43" s="32"/>
      <c r="C43" s="24"/>
      <c r="D43" s="30"/>
      <c r="E43" s="24"/>
      <c r="F43" s="30"/>
      <c r="G43" s="24"/>
      <c r="H43" s="30"/>
      <c r="I43" s="24"/>
      <c r="J43" s="30"/>
      <c r="K43" s="24"/>
      <c r="L43" s="30"/>
      <c r="M43" s="24"/>
      <c r="N43" s="30"/>
      <c r="O43" s="24"/>
      <c r="P43" s="30"/>
      <c r="Q43" s="24"/>
      <c r="R43" s="30"/>
      <c r="S43" s="24"/>
      <c r="T43" s="30"/>
      <c r="U43" s="24"/>
      <c r="V43" s="30"/>
      <c r="W43" s="24"/>
      <c r="X43" s="30"/>
      <c r="Y43" s="24"/>
      <c r="Z43" s="30"/>
      <c r="AA43" s="24"/>
      <c r="AB43" s="30"/>
      <c r="AC43" s="30">
        <f t="shared" si="2"/>
        <v>0</v>
      </c>
      <c r="AD43" s="30"/>
      <c r="AE43" s="103">
        <f t="shared" si="3"/>
        <v>0</v>
      </c>
      <c r="AF43" s="33"/>
      <c r="AG43" s="24"/>
      <c r="AH43" s="34"/>
      <c r="AI43" s="24"/>
      <c r="AJ43" s="34"/>
      <c r="AK43" s="24"/>
      <c r="AL43" s="34"/>
      <c r="AM43" s="34">
        <f>+'Gov Fd Rv'!Q43+'Gov Fd Rv'!S43-'Gov Fnd Exp'!AC43-AG43+AI43-'Gov Fd BS'!U43+AK43</f>
        <v>0</v>
      </c>
    </row>
    <row r="44" spans="1:39" ht="12.75" customHeight="1">
      <c r="A44" s="32" t="s">
        <v>40</v>
      </c>
      <c r="B44" s="32"/>
      <c r="C44" s="24">
        <v>2424585</v>
      </c>
      <c r="D44" s="30"/>
      <c r="E44" s="24">
        <v>1449481</v>
      </c>
      <c r="F44" s="30"/>
      <c r="G44" s="24">
        <v>3104195</v>
      </c>
      <c r="H44" s="30"/>
      <c r="I44" s="24">
        <v>4585181</v>
      </c>
      <c r="J44" s="30"/>
      <c r="K44" s="24">
        <v>1833442</v>
      </c>
      <c r="L44" s="30"/>
      <c r="M44" s="24">
        <v>11342549</v>
      </c>
      <c r="N44" s="30"/>
      <c r="O44" s="24">
        <v>646451</v>
      </c>
      <c r="P44" s="30"/>
      <c r="Q44" s="24">
        <v>0</v>
      </c>
      <c r="R44" s="30"/>
      <c r="S44" s="24">
        <f>369994+550624</f>
        <v>920618</v>
      </c>
      <c r="T44" s="30"/>
      <c r="U44" s="24">
        <v>91490</v>
      </c>
      <c r="V44" s="30"/>
      <c r="W44" s="24">
        <v>734422</v>
      </c>
      <c r="X44" s="30"/>
      <c r="Y44" s="24">
        <v>114860</v>
      </c>
      <c r="Z44" s="30"/>
      <c r="AA44" s="24">
        <v>17292</v>
      </c>
      <c r="AB44" s="30"/>
      <c r="AC44" s="30">
        <f t="shared" si="2"/>
        <v>27264566</v>
      </c>
      <c r="AD44" s="30"/>
      <c r="AE44" s="103">
        <f t="shared" si="3"/>
        <v>26306502</v>
      </c>
      <c r="AF44" s="33"/>
      <c r="AG44" s="24">
        <v>638016</v>
      </c>
      <c r="AH44" s="34"/>
      <c r="AI44" s="24">
        <v>17138495</v>
      </c>
      <c r="AJ44" s="34"/>
      <c r="AK44" s="24"/>
      <c r="AL44" s="34"/>
      <c r="AM44" s="34">
        <f>+'Gov Fd Rv'!Q44+'Gov Fd Rv'!S44-'Gov Fnd Exp'!AC44-AG44+AI44-'Gov Fd BS'!U44+AK44</f>
        <v>0</v>
      </c>
    </row>
    <row r="45" spans="1:39" ht="12.75" customHeight="1" hidden="1">
      <c r="A45" s="32" t="s">
        <v>41</v>
      </c>
      <c r="B45" s="32"/>
      <c r="C45" s="24"/>
      <c r="D45" s="30"/>
      <c r="E45" s="24"/>
      <c r="F45" s="30"/>
      <c r="G45" s="24"/>
      <c r="H45" s="30"/>
      <c r="I45" s="24"/>
      <c r="J45" s="30"/>
      <c r="K45" s="24"/>
      <c r="L45" s="30"/>
      <c r="M45" s="24"/>
      <c r="N45" s="30"/>
      <c r="O45" s="24"/>
      <c r="P45" s="30"/>
      <c r="Q45" s="24"/>
      <c r="R45" s="30"/>
      <c r="S45" s="24"/>
      <c r="T45" s="30"/>
      <c r="U45" s="24"/>
      <c r="V45" s="30"/>
      <c r="W45" s="24"/>
      <c r="X45" s="30"/>
      <c r="Y45" s="24"/>
      <c r="Z45" s="30"/>
      <c r="AA45" s="24"/>
      <c r="AB45" s="30"/>
      <c r="AC45" s="30">
        <f t="shared" si="2"/>
        <v>0</v>
      </c>
      <c r="AD45" s="30"/>
      <c r="AE45" s="103">
        <f t="shared" si="3"/>
        <v>0</v>
      </c>
      <c r="AF45" s="33"/>
      <c r="AG45" s="24"/>
      <c r="AH45" s="34"/>
      <c r="AI45" s="24"/>
      <c r="AJ45" s="34"/>
      <c r="AK45" s="24"/>
      <c r="AL45" s="34"/>
      <c r="AM45" s="34">
        <f>+'Gov Fd Rv'!Q45+'Gov Fd Rv'!S45-'Gov Fnd Exp'!AC45-AG45+AI45-'Gov Fd BS'!U45+AK45</f>
        <v>0</v>
      </c>
    </row>
    <row r="46" spans="1:39" ht="12.75" customHeight="1">
      <c r="A46" s="32" t="s">
        <v>42</v>
      </c>
      <c r="B46" s="32"/>
      <c r="C46" s="24">
        <v>2915286</v>
      </c>
      <c r="D46" s="142"/>
      <c r="E46" s="24">
        <v>2034079</v>
      </c>
      <c r="F46" s="142"/>
      <c r="G46" s="24">
        <v>3947040</v>
      </c>
      <c r="H46" s="142"/>
      <c r="I46" s="24">
        <v>3331555</v>
      </c>
      <c r="J46" s="142"/>
      <c r="K46" s="24">
        <v>5248714</v>
      </c>
      <c r="L46" s="142"/>
      <c r="M46" s="24">
        <v>6133346</v>
      </c>
      <c r="N46" s="142"/>
      <c r="O46" s="24">
        <v>920770</v>
      </c>
      <c r="P46" s="142"/>
      <c r="Q46" s="24">
        <v>225893</v>
      </c>
      <c r="R46" s="142"/>
      <c r="S46" s="24">
        <v>0</v>
      </c>
      <c r="T46" s="142"/>
      <c r="U46" s="24">
        <v>742812</v>
      </c>
      <c r="V46" s="142"/>
      <c r="W46" s="24">
        <v>0</v>
      </c>
      <c r="X46" s="142"/>
      <c r="Y46" s="24">
        <v>152499</v>
      </c>
      <c r="Z46" s="142"/>
      <c r="AA46" s="24">
        <v>32563</v>
      </c>
      <c r="AB46" s="142"/>
      <c r="AC46" s="142">
        <f>SUM(C46:AA46)</f>
        <v>25684557</v>
      </c>
      <c r="AD46" s="142"/>
      <c r="AE46" s="150">
        <f>SUM(C46:S46)</f>
        <v>24756683</v>
      </c>
      <c r="AF46" s="151"/>
      <c r="AG46" s="24">
        <v>534455</v>
      </c>
      <c r="AH46" s="34"/>
      <c r="AI46" s="24">
        <v>12195852</v>
      </c>
      <c r="AJ46" s="34"/>
      <c r="AK46" s="24"/>
      <c r="AL46" s="34"/>
      <c r="AM46" s="34">
        <f>+'Gov Fd Rv'!Q46+'Gov Fd Rv'!S46-'Gov Fnd Exp'!AC46-AG46+AI46-'Gov Fd BS'!U46+AK46</f>
        <v>0</v>
      </c>
    </row>
    <row r="47" spans="1:39" ht="12.75" customHeight="1">
      <c r="A47" s="32" t="s">
        <v>43</v>
      </c>
      <c r="B47" s="32"/>
      <c r="C47" s="24">
        <v>4507722</v>
      </c>
      <c r="D47" s="142"/>
      <c r="E47" s="24">
        <v>1772552</v>
      </c>
      <c r="F47" s="142"/>
      <c r="G47" s="24">
        <v>3754499</v>
      </c>
      <c r="H47" s="142"/>
      <c r="I47" s="24">
        <v>5299444</v>
      </c>
      <c r="J47" s="142"/>
      <c r="K47" s="24">
        <v>250509</v>
      </c>
      <c r="L47" s="142"/>
      <c r="M47" s="24">
        <v>11749959</v>
      </c>
      <c r="N47" s="142"/>
      <c r="O47" s="24">
        <v>0</v>
      </c>
      <c r="P47" s="142"/>
      <c r="Q47" s="24">
        <v>232446</v>
      </c>
      <c r="R47" s="142"/>
      <c r="S47" s="24">
        <v>173324</v>
      </c>
      <c r="T47" s="142"/>
      <c r="U47" s="24">
        <v>478975</v>
      </c>
      <c r="V47" s="142"/>
      <c r="W47" s="24">
        <v>0</v>
      </c>
      <c r="X47" s="142"/>
      <c r="Y47" s="24">
        <v>3091377</v>
      </c>
      <c r="Z47" s="142"/>
      <c r="AA47" s="24">
        <v>147641</v>
      </c>
      <c r="AB47" s="142"/>
      <c r="AC47" s="142">
        <f aca="true" t="shared" si="4" ref="AC47:AC65">SUM(C47:AA47)</f>
        <v>31458448</v>
      </c>
      <c r="AD47" s="142"/>
      <c r="AE47" s="150">
        <f aca="true" t="shared" si="5" ref="AE47:AE65">SUM(C47:S47)</f>
        <v>27740455</v>
      </c>
      <c r="AF47" s="151"/>
      <c r="AG47" s="24">
        <v>804714</v>
      </c>
      <c r="AH47" s="34"/>
      <c r="AI47" s="24">
        <v>9736491</v>
      </c>
      <c r="AJ47" s="34"/>
      <c r="AK47" s="24"/>
      <c r="AL47" s="34"/>
      <c r="AM47" s="34">
        <f>+'Gov Fd Rv'!Q47+'Gov Fd Rv'!S47-'Gov Fnd Exp'!AC47-AG47+AI47-'Gov Fd BS'!U47+AK47</f>
        <v>0</v>
      </c>
    </row>
    <row r="48" spans="1:39" ht="12.75" customHeight="1">
      <c r="A48" s="32" t="s">
        <v>44</v>
      </c>
      <c r="B48" s="32"/>
      <c r="C48" s="24">
        <v>6138329</v>
      </c>
      <c r="D48" s="142"/>
      <c r="E48" s="24">
        <v>1864352</v>
      </c>
      <c r="F48" s="142"/>
      <c r="G48" s="24">
        <v>5657207</v>
      </c>
      <c r="H48" s="142"/>
      <c r="I48" s="24">
        <v>6118927</v>
      </c>
      <c r="J48" s="142"/>
      <c r="K48" s="24">
        <v>9504421</v>
      </c>
      <c r="L48" s="142"/>
      <c r="M48" s="24">
        <v>9827233</v>
      </c>
      <c r="N48" s="142"/>
      <c r="O48" s="24">
        <v>0</v>
      </c>
      <c r="P48" s="142"/>
      <c r="Q48" s="24">
        <v>0</v>
      </c>
      <c r="R48" s="142"/>
      <c r="S48" s="24">
        <v>311818</v>
      </c>
      <c r="T48" s="142"/>
      <c r="U48" s="24">
        <v>1068805</v>
      </c>
      <c r="V48" s="142"/>
      <c r="W48" s="24">
        <v>0</v>
      </c>
      <c r="X48" s="142"/>
      <c r="Y48" s="24">
        <v>680000</v>
      </c>
      <c r="Z48" s="142"/>
      <c r="AA48" s="24">
        <v>386050</v>
      </c>
      <c r="AB48" s="142"/>
      <c r="AC48" s="142">
        <f t="shared" si="4"/>
        <v>41557142</v>
      </c>
      <c r="AD48" s="142"/>
      <c r="AE48" s="150">
        <f t="shared" si="5"/>
        <v>39422287</v>
      </c>
      <c r="AF48" s="151"/>
      <c r="AG48" s="24">
        <v>1211257</v>
      </c>
      <c r="AH48" s="34"/>
      <c r="AI48" s="24">
        <v>16882328</v>
      </c>
      <c r="AJ48" s="34"/>
      <c r="AK48" s="24"/>
      <c r="AL48" s="34"/>
      <c r="AM48" s="34">
        <f>+'Gov Fd Rv'!Q48+'Gov Fd Rv'!S48-'Gov Fnd Exp'!AC48-AG48+AI48-'Gov Fd BS'!U48+AK48</f>
        <v>0</v>
      </c>
    </row>
    <row r="49" spans="1:39" ht="12.75" customHeight="1" hidden="1">
      <c r="A49" s="32" t="s">
        <v>239</v>
      </c>
      <c r="B49" s="32"/>
      <c r="C49" s="24"/>
      <c r="D49" s="142"/>
      <c r="E49" s="24"/>
      <c r="F49" s="142"/>
      <c r="G49" s="24"/>
      <c r="H49" s="142"/>
      <c r="I49" s="24"/>
      <c r="J49" s="142"/>
      <c r="K49" s="24"/>
      <c r="L49" s="142"/>
      <c r="M49" s="24"/>
      <c r="N49" s="142"/>
      <c r="O49" s="24"/>
      <c r="P49" s="142"/>
      <c r="Q49" s="24"/>
      <c r="R49" s="142"/>
      <c r="S49" s="24"/>
      <c r="T49" s="142"/>
      <c r="U49" s="24"/>
      <c r="V49" s="142"/>
      <c r="W49" s="24"/>
      <c r="X49" s="142"/>
      <c r="Y49" s="24"/>
      <c r="Z49" s="142"/>
      <c r="AA49" s="24"/>
      <c r="AB49" s="142"/>
      <c r="AC49" s="142">
        <f t="shared" si="4"/>
        <v>0</v>
      </c>
      <c r="AD49" s="142"/>
      <c r="AE49" s="150">
        <f t="shared" si="5"/>
        <v>0</v>
      </c>
      <c r="AF49" s="151"/>
      <c r="AG49" s="24"/>
      <c r="AH49" s="34"/>
      <c r="AI49" s="24"/>
      <c r="AJ49" s="34"/>
      <c r="AK49" s="24"/>
      <c r="AL49" s="34"/>
      <c r="AM49" s="34">
        <f>+'[1]Gov Fd Rv'!Q49+'[1]Gov Fd Rv'!S49-'[1]Gov Fnd Exp'!AC49-AG49+AI49-'[1]Gov Fd BS'!O49+AK49</f>
        <v>0</v>
      </c>
    </row>
    <row r="50" spans="1:39" ht="12.75" customHeight="1">
      <c r="A50" s="32" t="s">
        <v>46</v>
      </c>
      <c r="B50" s="32"/>
      <c r="C50" s="24">
        <v>5979890</v>
      </c>
      <c r="D50" s="142"/>
      <c r="E50" s="24">
        <v>3667692</v>
      </c>
      <c r="F50" s="142"/>
      <c r="G50" s="24">
        <v>9755510</v>
      </c>
      <c r="H50" s="142"/>
      <c r="I50" s="24">
        <v>7965152</v>
      </c>
      <c r="J50" s="142"/>
      <c r="K50" s="24">
        <v>17559309</v>
      </c>
      <c r="L50" s="142"/>
      <c r="M50" s="24">
        <v>13075888</v>
      </c>
      <c r="N50" s="142"/>
      <c r="O50" s="24">
        <v>3083580</v>
      </c>
      <c r="P50" s="142"/>
      <c r="Q50" s="24">
        <v>68790</v>
      </c>
      <c r="R50" s="142"/>
      <c r="S50" s="24">
        <v>420928</v>
      </c>
      <c r="T50" s="142"/>
      <c r="U50" s="24">
        <v>500244</v>
      </c>
      <c r="V50" s="142"/>
      <c r="W50" s="24">
        <v>0</v>
      </c>
      <c r="X50" s="142"/>
      <c r="Y50" s="24">
        <v>2405611</v>
      </c>
      <c r="Z50" s="142"/>
      <c r="AA50" s="24">
        <v>1022364</v>
      </c>
      <c r="AB50" s="142"/>
      <c r="AC50" s="142">
        <f t="shared" si="4"/>
        <v>65504958</v>
      </c>
      <c r="AD50" s="142"/>
      <c r="AE50" s="150">
        <f t="shared" si="5"/>
        <v>61576739</v>
      </c>
      <c r="AF50" s="151"/>
      <c r="AG50" s="24">
        <v>3628302</v>
      </c>
      <c r="AH50" s="34"/>
      <c r="AI50" s="24">
        <v>28041989</v>
      </c>
      <c r="AJ50" s="34"/>
      <c r="AK50" s="24"/>
      <c r="AL50" s="34"/>
      <c r="AM50" s="34">
        <f>+'Gov Fd Rv'!Q50+'Gov Fd Rv'!S50-'Gov Fnd Exp'!AC50-AG50+AI50-'Gov Fd BS'!U50+AK50</f>
        <v>0</v>
      </c>
    </row>
    <row r="51" spans="1:39" ht="12.75" customHeight="1">
      <c r="A51" s="32" t="s">
        <v>47</v>
      </c>
      <c r="B51" s="42"/>
      <c r="C51" s="24">
        <v>5576818</v>
      </c>
      <c r="D51" s="142"/>
      <c r="E51" s="24">
        <v>2013428</v>
      </c>
      <c r="F51" s="142"/>
      <c r="G51" s="24">
        <v>6496890</v>
      </c>
      <c r="H51" s="142"/>
      <c r="I51" s="24">
        <v>4703184</v>
      </c>
      <c r="J51" s="142"/>
      <c r="K51" s="24">
        <v>469722</v>
      </c>
      <c r="L51" s="142"/>
      <c r="M51" s="24">
        <v>11501805</v>
      </c>
      <c r="N51" s="142"/>
      <c r="O51" s="24">
        <v>0</v>
      </c>
      <c r="P51" s="142"/>
      <c r="Q51" s="24">
        <v>0</v>
      </c>
      <c r="R51" s="142"/>
      <c r="S51" s="24">
        <v>0</v>
      </c>
      <c r="T51" s="142"/>
      <c r="U51" s="24">
        <v>2961457</v>
      </c>
      <c r="V51" s="142"/>
      <c r="W51" s="24">
        <v>2052914</v>
      </c>
      <c r="X51" s="142"/>
      <c r="Y51" s="24">
        <v>883249</v>
      </c>
      <c r="Z51" s="142"/>
      <c r="AA51" s="24">
        <v>307762</v>
      </c>
      <c r="AB51" s="142"/>
      <c r="AC51" s="142">
        <f t="shared" si="4"/>
        <v>36967229</v>
      </c>
      <c r="AD51" s="142"/>
      <c r="AE51" s="150">
        <f t="shared" si="5"/>
        <v>30761847</v>
      </c>
      <c r="AF51" s="151"/>
      <c r="AG51" s="24">
        <v>1289687</v>
      </c>
      <c r="AH51" s="34"/>
      <c r="AI51" s="24">
        <v>22036487</v>
      </c>
      <c r="AJ51" s="34"/>
      <c r="AK51" s="24">
        <v>-88601</v>
      </c>
      <c r="AL51" s="34"/>
      <c r="AM51" s="34">
        <f>+'Gov Fd Rv'!Q51+'Gov Fd Rv'!S51-'Gov Fnd Exp'!AC51-AG51+AI51-'Gov Fd BS'!U51+AK51</f>
        <v>0</v>
      </c>
    </row>
    <row r="52" spans="1:39" ht="12.75" customHeight="1" hidden="1">
      <c r="A52" s="32" t="s">
        <v>48</v>
      </c>
      <c r="B52" s="32"/>
      <c r="C52" s="24"/>
      <c r="D52" s="142"/>
      <c r="E52" s="24"/>
      <c r="F52" s="142"/>
      <c r="G52" s="24"/>
      <c r="H52" s="142"/>
      <c r="I52" s="24"/>
      <c r="J52" s="142"/>
      <c r="K52" s="24"/>
      <c r="L52" s="142"/>
      <c r="M52" s="24"/>
      <c r="N52" s="142"/>
      <c r="O52" s="24"/>
      <c r="P52" s="142"/>
      <c r="Q52" s="24"/>
      <c r="R52" s="142"/>
      <c r="S52" s="24"/>
      <c r="T52" s="142"/>
      <c r="U52" s="24"/>
      <c r="V52" s="142"/>
      <c r="W52" s="24"/>
      <c r="X52" s="142"/>
      <c r="Y52" s="24"/>
      <c r="Z52" s="142"/>
      <c r="AA52" s="24"/>
      <c r="AB52" s="142"/>
      <c r="AC52" s="142">
        <f t="shared" si="4"/>
        <v>0</v>
      </c>
      <c r="AD52" s="142"/>
      <c r="AE52" s="150">
        <f t="shared" si="5"/>
        <v>0</v>
      </c>
      <c r="AF52" s="151"/>
      <c r="AG52" s="24"/>
      <c r="AH52" s="34"/>
      <c r="AI52" s="24"/>
      <c r="AJ52" s="34"/>
      <c r="AK52" s="24"/>
      <c r="AL52" s="34"/>
      <c r="AM52" s="34">
        <f>+'Gov Fd Rv'!Q52+'Gov Fd Rv'!S52-'Gov Fnd Exp'!AC52-AG52+AI52-'Gov Fd BS'!U52+AK52</f>
        <v>0</v>
      </c>
    </row>
    <row r="53" spans="1:39" ht="12.75" customHeight="1" hidden="1">
      <c r="A53" s="32" t="s">
        <v>169</v>
      </c>
      <c r="B53" s="32"/>
      <c r="C53" s="24"/>
      <c r="D53" s="142"/>
      <c r="E53" s="24"/>
      <c r="F53" s="142"/>
      <c r="G53" s="24"/>
      <c r="H53" s="142"/>
      <c r="I53" s="24"/>
      <c r="J53" s="142"/>
      <c r="K53" s="24"/>
      <c r="L53" s="142"/>
      <c r="M53" s="24"/>
      <c r="N53" s="142"/>
      <c r="O53" s="24"/>
      <c r="P53" s="142"/>
      <c r="Q53" s="24"/>
      <c r="R53" s="142"/>
      <c r="S53" s="24"/>
      <c r="T53" s="142"/>
      <c r="U53" s="24"/>
      <c r="V53" s="142"/>
      <c r="W53" s="24"/>
      <c r="X53" s="142"/>
      <c r="Y53" s="24"/>
      <c r="Z53" s="142"/>
      <c r="AA53" s="24"/>
      <c r="AB53" s="142"/>
      <c r="AC53" s="142">
        <f t="shared" si="4"/>
        <v>0</v>
      </c>
      <c r="AD53" s="142"/>
      <c r="AE53" s="150">
        <f t="shared" si="5"/>
        <v>0</v>
      </c>
      <c r="AF53" s="151"/>
      <c r="AG53" s="24"/>
      <c r="AH53" s="34"/>
      <c r="AI53" s="24"/>
      <c r="AJ53" s="34"/>
      <c r="AK53" s="24"/>
      <c r="AL53" s="34"/>
      <c r="AM53" s="34">
        <f>+'[1]Gov Fd Rv'!Q53+'[1]Gov Fd Rv'!S53-'[1]Gov Fnd Exp'!AC53-AG53+AI53-'[1]Gov Fd BS'!O53+AK53</f>
        <v>0</v>
      </c>
    </row>
    <row r="54" spans="1:39" ht="12.75" customHeight="1">
      <c r="A54" s="32" t="s">
        <v>49</v>
      </c>
      <c r="B54" s="32"/>
      <c r="C54" s="24">
        <v>25626678</v>
      </c>
      <c r="D54" s="142"/>
      <c r="E54" s="24">
        <v>0</v>
      </c>
      <c r="F54" s="142"/>
      <c r="G54" s="24">
        <v>21260002</v>
      </c>
      <c r="H54" s="142"/>
      <c r="I54" s="24">
        <v>7383209</v>
      </c>
      <c r="J54" s="142"/>
      <c r="K54" s="24">
        <v>4544893</v>
      </c>
      <c r="L54" s="142"/>
      <c r="M54" s="24">
        <v>39145611</v>
      </c>
      <c r="N54" s="142"/>
      <c r="O54" s="24">
        <v>1270000</v>
      </c>
      <c r="P54" s="142"/>
      <c r="Q54" s="24">
        <v>552157</v>
      </c>
      <c r="R54" s="142"/>
      <c r="S54" s="24">
        <v>0</v>
      </c>
      <c r="T54" s="142"/>
      <c r="U54" s="24">
        <v>1544590</v>
      </c>
      <c r="V54" s="142"/>
      <c r="W54" s="24">
        <v>0</v>
      </c>
      <c r="X54" s="142"/>
      <c r="Y54" s="24">
        <v>766019</v>
      </c>
      <c r="Z54" s="142"/>
      <c r="AA54" s="24">
        <v>352390</v>
      </c>
      <c r="AB54" s="142"/>
      <c r="AC54" s="142">
        <f>SUM(C54:AA54)</f>
        <v>102445549</v>
      </c>
      <c r="AD54" s="142"/>
      <c r="AE54" s="150">
        <f>SUM(C54:S54)</f>
        <v>99782550</v>
      </c>
      <c r="AF54" s="151"/>
      <c r="AG54" s="24">
        <f>5967587+4420810</f>
        <v>10388397</v>
      </c>
      <c r="AH54" s="34"/>
      <c r="AI54" s="24">
        <v>35012698</v>
      </c>
      <c r="AJ54" s="34"/>
      <c r="AK54" s="24">
        <v>-97980</v>
      </c>
      <c r="AL54" s="34"/>
      <c r="AM54" s="34">
        <f>+'Gov Fd Rv'!Q54+'Gov Fd Rv'!S54-'Gov Fnd Exp'!AC54-AG54+AI54-'Gov Fd BS'!U54+AK54</f>
        <v>0</v>
      </c>
    </row>
    <row r="55" spans="1:39" ht="12.75" customHeight="1">
      <c r="A55" s="32" t="s">
        <v>50</v>
      </c>
      <c r="B55" s="32"/>
      <c r="C55" s="24">
        <v>4182255</v>
      </c>
      <c r="D55" s="142"/>
      <c r="E55" s="24">
        <v>2758921</v>
      </c>
      <c r="F55" s="142"/>
      <c r="G55" s="24">
        <v>5379460</v>
      </c>
      <c r="H55" s="142"/>
      <c r="I55" s="24">
        <v>7544327</v>
      </c>
      <c r="J55" s="142"/>
      <c r="K55" s="24">
        <v>1363240</v>
      </c>
      <c r="L55" s="142"/>
      <c r="M55" s="24">
        <v>15196010</v>
      </c>
      <c r="N55" s="142"/>
      <c r="O55" s="24">
        <f>894204+52582</f>
        <v>946786</v>
      </c>
      <c r="P55" s="142"/>
      <c r="Q55" s="24">
        <v>0</v>
      </c>
      <c r="R55" s="142"/>
      <c r="S55" s="24">
        <v>0</v>
      </c>
      <c r="T55" s="142"/>
      <c r="U55" s="24">
        <v>0</v>
      </c>
      <c r="V55" s="142"/>
      <c r="W55" s="24">
        <v>0</v>
      </c>
      <c r="X55" s="142"/>
      <c r="Y55" s="24">
        <v>409500</v>
      </c>
      <c r="Z55" s="142"/>
      <c r="AA55" s="24">
        <v>294915</v>
      </c>
      <c r="AB55" s="142"/>
      <c r="AC55" s="142">
        <f t="shared" si="4"/>
        <v>38075414</v>
      </c>
      <c r="AD55" s="142"/>
      <c r="AE55" s="150">
        <f t="shared" si="5"/>
        <v>37370999</v>
      </c>
      <c r="AF55" s="151"/>
      <c r="AG55" s="24">
        <v>956743</v>
      </c>
      <c r="AH55" s="34"/>
      <c r="AI55" s="24">
        <v>15077621</v>
      </c>
      <c r="AJ55" s="34"/>
      <c r="AK55" s="24">
        <v>-87015</v>
      </c>
      <c r="AL55" s="34"/>
      <c r="AM55" s="34">
        <f>+'Gov Fd Rv'!Q55+'Gov Fd Rv'!S55-'Gov Fnd Exp'!AC55-AG55+AI55-'Gov Fd BS'!U55+AK55</f>
        <v>15205</v>
      </c>
    </row>
    <row r="56" spans="1:39" ht="12.75" customHeight="1">
      <c r="A56" s="32" t="s">
        <v>244</v>
      </c>
      <c r="B56" s="32"/>
      <c r="C56" s="24">
        <v>27887835</v>
      </c>
      <c r="D56" s="142"/>
      <c r="E56" s="24">
        <v>16754595</v>
      </c>
      <c r="F56" s="142"/>
      <c r="G56" s="24">
        <v>27936205</v>
      </c>
      <c r="H56" s="142"/>
      <c r="I56" s="24">
        <v>8100822</v>
      </c>
      <c r="J56" s="142"/>
      <c r="K56" s="24">
        <v>47467667</v>
      </c>
      <c r="L56" s="142"/>
      <c r="M56" s="24">
        <v>66813385</v>
      </c>
      <c r="N56" s="142"/>
      <c r="O56" s="24">
        <v>472661</v>
      </c>
      <c r="P56" s="142"/>
      <c r="Q56" s="24">
        <v>0</v>
      </c>
      <c r="R56" s="142"/>
      <c r="S56" s="24">
        <v>0</v>
      </c>
      <c r="T56" s="142"/>
      <c r="U56" s="24">
        <v>6597283</v>
      </c>
      <c r="V56" s="142"/>
      <c r="W56" s="24">
        <v>199430</v>
      </c>
      <c r="X56" s="142"/>
      <c r="Y56" s="24">
        <v>2317088</v>
      </c>
      <c r="Z56" s="142"/>
      <c r="AA56" s="24">
        <v>1362276</v>
      </c>
      <c r="AB56" s="142"/>
      <c r="AC56" s="142">
        <f t="shared" si="4"/>
        <v>205909247</v>
      </c>
      <c r="AD56" s="142"/>
      <c r="AE56" s="150">
        <f t="shared" si="5"/>
        <v>195433170</v>
      </c>
      <c r="AF56" s="151"/>
      <c r="AG56" s="24">
        <v>6737344</v>
      </c>
      <c r="AH56" s="34"/>
      <c r="AI56" s="24">
        <v>110932033</v>
      </c>
      <c r="AJ56" s="34"/>
      <c r="AK56" s="24">
        <v>-105069</v>
      </c>
      <c r="AL56" s="34"/>
      <c r="AM56" s="34">
        <f>+'Gov Fd Rv'!Q56+'Gov Fd Rv'!S56-'Gov Fnd Exp'!AC56-AG56+AI56-'Gov Fd BS'!U56+AK56</f>
        <v>0</v>
      </c>
    </row>
    <row r="57" spans="1:39" ht="12.75" customHeight="1">
      <c r="A57" s="32" t="s">
        <v>182</v>
      </c>
      <c r="B57" s="32"/>
      <c r="C57" s="24">
        <v>37123000</v>
      </c>
      <c r="D57" s="142"/>
      <c r="E57" s="24">
        <v>57838605</v>
      </c>
      <c r="F57" s="142"/>
      <c r="G57" s="24">
        <v>75257362</v>
      </c>
      <c r="H57" s="142"/>
      <c r="I57" s="24">
        <v>13289005</v>
      </c>
      <c r="J57" s="142"/>
      <c r="K57" s="24">
        <v>140158961</v>
      </c>
      <c r="L57" s="142"/>
      <c r="M57" s="24">
        <v>89492766</v>
      </c>
      <c r="N57" s="142"/>
      <c r="O57" s="34">
        <v>0</v>
      </c>
      <c r="P57" s="142"/>
      <c r="Q57" s="24">
        <v>17321649</v>
      </c>
      <c r="R57" s="142"/>
      <c r="S57" s="24">
        <f>70175+55230+637908</f>
        <v>763313</v>
      </c>
      <c r="T57" s="142"/>
      <c r="U57" s="24">
        <v>2217654</v>
      </c>
      <c r="V57" s="142"/>
      <c r="W57" s="24">
        <v>0</v>
      </c>
      <c r="X57" s="142"/>
      <c r="Y57" s="24">
        <v>6898496</v>
      </c>
      <c r="Z57" s="142"/>
      <c r="AA57" s="24">
        <v>5452032</v>
      </c>
      <c r="AB57" s="142"/>
      <c r="AC57" s="142">
        <f t="shared" si="4"/>
        <v>445812843</v>
      </c>
      <c r="AD57" s="142"/>
      <c r="AE57" s="150">
        <f t="shared" si="5"/>
        <v>431244661</v>
      </c>
      <c r="AF57" s="151"/>
      <c r="AG57" s="24">
        <f>4422869+24286493</f>
        <v>28709362</v>
      </c>
      <c r="AH57" s="34"/>
      <c r="AI57" s="24">
        <v>138122918</v>
      </c>
      <c r="AJ57" s="34"/>
      <c r="AK57" s="24"/>
      <c r="AL57" s="34"/>
      <c r="AM57" s="34">
        <f>+'Gov Fd Rv'!Q57+'Gov Fd Rv'!S57-'Gov Fnd Exp'!AC57-AG57+AI57-'Gov Fd BS'!U57+AK57</f>
        <v>0</v>
      </c>
    </row>
    <row r="58" spans="1:39" ht="12.75" customHeight="1" hidden="1">
      <c r="A58" s="32" t="s">
        <v>52</v>
      </c>
      <c r="B58" s="32"/>
      <c r="C58" s="24"/>
      <c r="D58" s="142"/>
      <c r="E58" s="24"/>
      <c r="F58" s="142"/>
      <c r="G58" s="24"/>
      <c r="H58" s="142"/>
      <c r="I58" s="24"/>
      <c r="J58" s="142"/>
      <c r="K58" s="24"/>
      <c r="L58" s="142"/>
      <c r="M58" s="24"/>
      <c r="N58" s="142"/>
      <c r="O58" s="24"/>
      <c r="P58" s="142"/>
      <c r="Q58" s="24"/>
      <c r="R58" s="142"/>
      <c r="S58" s="24"/>
      <c r="T58" s="142"/>
      <c r="U58" s="24"/>
      <c r="V58" s="142"/>
      <c r="W58" s="24"/>
      <c r="X58" s="142"/>
      <c r="Y58" s="24"/>
      <c r="Z58" s="142"/>
      <c r="AA58" s="24"/>
      <c r="AB58" s="142"/>
      <c r="AC58" s="142">
        <f t="shared" si="4"/>
        <v>0</v>
      </c>
      <c r="AD58" s="142"/>
      <c r="AE58" s="150">
        <f t="shared" si="5"/>
        <v>0</v>
      </c>
      <c r="AF58" s="151"/>
      <c r="AG58" s="24"/>
      <c r="AH58" s="34"/>
      <c r="AI58" s="24"/>
      <c r="AJ58" s="34"/>
      <c r="AK58" s="24"/>
      <c r="AL58" s="34"/>
      <c r="AM58" s="34">
        <f>+'[1]Gov Fd Rv'!Q58+'[1]Gov Fd Rv'!S58-'[1]Gov Fnd Exp'!AC58-AG58+AI58-'[1]Gov Fd BS'!O58+AK58</f>
        <v>0</v>
      </c>
    </row>
    <row r="59" spans="1:39" ht="12.75" customHeight="1">
      <c r="A59" s="32" t="s">
        <v>53</v>
      </c>
      <c r="B59" s="32"/>
      <c r="C59" s="24">
        <v>26451267</v>
      </c>
      <c r="D59" s="142"/>
      <c r="E59" s="24">
        <v>20279327</v>
      </c>
      <c r="F59" s="142"/>
      <c r="G59" s="24">
        <v>21297256</v>
      </c>
      <c r="H59" s="142"/>
      <c r="I59" s="24">
        <v>9970120</v>
      </c>
      <c r="J59" s="142"/>
      <c r="K59" s="24">
        <v>50569263</v>
      </c>
      <c r="L59" s="142"/>
      <c r="M59" s="24">
        <v>38249170</v>
      </c>
      <c r="N59" s="142"/>
      <c r="O59" s="24">
        <v>0</v>
      </c>
      <c r="P59" s="142"/>
      <c r="Q59" s="24">
        <v>0</v>
      </c>
      <c r="R59" s="142"/>
      <c r="S59" s="24">
        <v>425345</v>
      </c>
      <c r="T59" s="142"/>
      <c r="U59" s="24">
        <v>11122227</v>
      </c>
      <c r="V59" s="142"/>
      <c r="W59" s="24">
        <v>0</v>
      </c>
      <c r="X59" s="142"/>
      <c r="Y59" s="24">
        <v>7962854</v>
      </c>
      <c r="Z59" s="142"/>
      <c r="AA59" s="24">
        <v>2185805</v>
      </c>
      <c r="AB59" s="142"/>
      <c r="AC59" s="142">
        <f t="shared" si="4"/>
        <v>188512634</v>
      </c>
      <c r="AD59" s="142"/>
      <c r="AE59" s="150">
        <f t="shared" si="5"/>
        <v>167241748</v>
      </c>
      <c r="AF59" s="151"/>
      <c r="AG59" s="24">
        <v>10662945</v>
      </c>
      <c r="AH59" s="34"/>
      <c r="AI59" s="24">
        <v>78993044</v>
      </c>
      <c r="AJ59" s="34"/>
      <c r="AK59" s="24"/>
      <c r="AL59" s="34"/>
      <c r="AM59" s="34">
        <f>+'Gov Fd Rv'!Q59+'Gov Fd Rv'!S59-'Gov Fnd Exp'!AC59-AG59+AI59-'Gov Fd BS'!U59+AK59</f>
        <v>0</v>
      </c>
    </row>
    <row r="60" spans="1:39" ht="12.75" customHeight="1">
      <c r="A60" s="32" t="s">
        <v>54</v>
      </c>
      <c r="B60" s="32"/>
      <c r="C60" s="24">
        <v>5870228</v>
      </c>
      <c r="D60" s="142"/>
      <c r="E60" s="24">
        <v>2677452</v>
      </c>
      <c r="F60" s="142"/>
      <c r="G60" s="24">
        <v>10046777</v>
      </c>
      <c r="H60" s="142"/>
      <c r="I60" s="24">
        <v>4862065</v>
      </c>
      <c r="J60" s="142"/>
      <c r="K60" s="24">
        <v>6922644</v>
      </c>
      <c r="L60" s="142"/>
      <c r="M60" s="24">
        <v>9940314</v>
      </c>
      <c r="N60" s="142"/>
      <c r="O60" s="24">
        <v>0</v>
      </c>
      <c r="P60" s="142"/>
      <c r="Q60" s="24">
        <v>2000</v>
      </c>
      <c r="R60" s="142"/>
      <c r="S60" s="24">
        <v>110000</v>
      </c>
      <c r="T60" s="142"/>
      <c r="U60" s="24">
        <v>6436377</v>
      </c>
      <c r="V60" s="142"/>
      <c r="W60" s="143">
        <f>212793+3600+11530+159990+140000</f>
        <v>527913</v>
      </c>
      <c r="X60" s="142"/>
      <c r="Y60" s="24">
        <v>332905</v>
      </c>
      <c r="Z60" s="142"/>
      <c r="AA60" s="24">
        <v>493718</v>
      </c>
      <c r="AB60" s="142"/>
      <c r="AC60" s="142">
        <f t="shared" si="4"/>
        <v>48222393</v>
      </c>
      <c r="AD60" s="142"/>
      <c r="AE60" s="150">
        <f t="shared" si="5"/>
        <v>40431480</v>
      </c>
      <c r="AF60" s="151"/>
      <c r="AG60" s="24">
        <f>2070000+1291540</f>
        <v>3361540</v>
      </c>
      <c r="AH60" s="34"/>
      <c r="AI60" s="24">
        <v>23040822</v>
      </c>
      <c r="AJ60" s="34"/>
      <c r="AK60" s="24"/>
      <c r="AL60" s="34"/>
      <c r="AM60" s="34">
        <f>+'Gov Fd Rv'!Q60+'Gov Fd Rv'!S60-'Gov Fnd Exp'!AC60-AG60+AI60-'Gov Fd BS'!U60+AK60</f>
        <v>0</v>
      </c>
    </row>
    <row r="61" spans="1:39" ht="12.75" customHeight="1">
      <c r="A61" s="32" t="s">
        <v>55</v>
      </c>
      <c r="B61" s="32"/>
      <c r="C61" s="24">
        <v>21631013</v>
      </c>
      <c r="D61" s="142"/>
      <c r="E61" s="24">
        <v>10241170</v>
      </c>
      <c r="F61" s="142"/>
      <c r="G61" s="24">
        <v>19823252</v>
      </c>
      <c r="H61" s="142"/>
      <c r="I61" s="24">
        <v>8052821</v>
      </c>
      <c r="J61" s="142"/>
      <c r="K61" s="24">
        <v>24737735</v>
      </c>
      <c r="L61" s="142"/>
      <c r="M61" s="24">
        <v>13511589</v>
      </c>
      <c r="N61" s="142"/>
      <c r="O61" s="24">
        <v>1044544</v>
      </c>
      <c r="P61" s="142"/>
      <c r="Q61" s="24">
        <v>0</v>
      </c>
      <c r="R61" s="142"/>
      <c r="S61" s="24">
        <v>0</v>
      </c>
      <c r="T61" s="142"/>
      <c r="U61" s="24">
        <v>5406273</v>
      </c>
      <c r="V61" s="142"/>
      <c r="W61" s="24">
        <v>319065</v>
      </c>
      <c r="X61" s="142"/>
      <c r="Y61" s="24">
        <v>793561</v>
      </c>
      <c r="Z61" s="142"/>
      <c r="AA61" s="24">
        <v>274625</v>
      </c>
      <c r="AB61" s="142"/>
      <c r="AC61" s="142">
        <f t="shared" si="4"/>
        <v>105835648</v>
      </c>
      <c r="AD61" s="142"/>
      <c r="AE61" s="150">
        <f t="shared" si="5"/>
        <v>99042124</v>
      </c>
      <c r="AF61" s="151"/>
      <c r="AG61" s="24">
        <v>1706483</v>
      </c>
      <c r="AH61" s="34"/>
      <c r="AI61" s="24">
        <v>44425842</v>
      </c>
      <c r="AJ61" s="34"/>
      <c r="AK61" s="24"/>
      <c r="AL61" s="34"/>
      <c r="AM61" s="34">
        <f>+'Gov Fd Rv'!Q61+'Gov Fd Rv'!S61-'Gov Fnd Exp'!AC61-AG61+AI61-'Gov Fd BS'!U61+AK61</f>
        <v>0</v>
      </c>
    </row>
    <row r="62" spans="1:39" ht="12.75" customHeight="1" hidden="1">
      <c r="A62" s="32" t="s">
        <v>170</v>
      </c>
      <c r="B62" s="32"/>
      <c r="C62" s="24"/>
      <c r="D62" s="142"/>
      <c r="E62" s="24"/>
      <c r="F62" s="142"/>
      <c r="G62" s="24"/>
      <c r="H62" s="142"/>
      <c r="I62" s="24"/>
      <c r="J62" s="142"/>
      <c r="K62" s="24"/>
      <c r="L62" s="142"/>
      <c r="M62" s="24"/>
      <c r="N62" s="142"/>
      <c r="O62" s="24"/>
      <c r="P62" s="142"/>
      <c r="Q62" s="24"/>
      <c r="R62" s="142"/>
      <c r="S62" s="24"/>
      <c r="T62" s="142"/>
      <c r="U62" s="24"/>
      <c r="V62" s="142"/>
      <c r="W62" s="24"/>
      <c r="X62" s="142"/>
      <c r="Y62" s="24"/>
      <c r="Z62" s="142"/>
      <c r="AA62" s="24"/>
      <c r="AB62" s="142"/>
      <c r="AC62" s="142">
        <f t="shared" si="4"/>
        <v>0</v>
      </c>
      <c r="AD62" s="142"/>
      <c r="AE62" s="150">
        <f t="shared" si="5"/>
        <v>0</v>
      </c>
      <c r="AF62" s="151"/>
      <c r="AG62" s="24"/>
      <c r="AH62" s="34"/>
      <c r="AI62" s="24"/>
      <c r="AJ62" s="34"/>
      <c r="AK62" s="24"/>
      <c r="AL62" s="34"/>
      <c r="AM62" s="34">
        <f>+'[1]Gov Fd Rv'!Q62+'[1]Gov Fd Rv'!S62-'[1]Gov Fnd Exp'!AC62-AG62+AI62-'[1]Gov Fd BS'!O62+AK62</f>
        <v>0</v>
      </c>
    </row>
    <row r="63" spans="1:39" ht="12.75" customHeight="1" hidden="1">
      <c r="A63" s="32" t="s">
        <v>56</v>
      </c>
      <c r="B63" s="32"/>
      <c r="C63" s="24"/>
      <c r="D63" s="142"/>
      <c r="E63" s="24"/>
      <c r="F63" s="142"/>
      <c r="G63" s="24"/>
      <c r="H63" s="142"/>
      <c r="I63" s="24"/>
      <c r="J63" s="142"/>
      <c r="K63" s="24"/>
      <c r="L63" s="142"/>
      <c r="M63" s="24"/>
      <c r="N63" s="142"/>
      <c r="O63" s="24"/>
      <c r="P63" s="142"/>
      <c r="Q63" s="24"/>
      <c r="R63" s="142"/>
      <c r="S63" s="24"/>
      <c r="T63" s="142"/>
      <c r="U63" s="24"/>
      <c r="V63" s="142"/>
      <c r="W63" s="24"/>
      <c r="X63" s="142"/>
      <c r="Y63" s="24"/>
      <c r="Z63" s="142"/>
      <c r="AA63" s="24"/>
      <c r="AB63" s="142"/>
      <c r="AC63" s="142">
        <f t="shared" si="4"/>
        <v>0</v>
      </c>
      <c r="AD63" s="142"/>
      <c r="AE63" s="150">
        <f t="shared" si="5"/>
        <v>0</v>
      </c>
      <c r="AF63" s="151"/>
      <c r="AG63" s="24"/>
      <c r="AH63" s="34"/>
      <c r="AI63" s="24"/>
      <c r="AJ63" s="34"/>
      <c r="AK63" s="24"/>
      <c r="AL63" s="34"/>
      <c r="AM63" s="34">
        <f>+'[1]Gov Fd Rv'!Q63+'[1]Gov Fd Rv'!S63-'[1]Gov Fnd Exp'!AC63-AG63+AI63-'[1]Gov Fd BS'!O63+AK63</f>
        <v>0</v>
      </c>
    </row>
    <row r="64" spans="1:39" ht="12.75" customHeight="1">
      <c r="A64" s="32" t="s">
        <v>57</v>
      </c>
      <c r="B64" s="32"/>
      <c r="C64" s="24">
        <v>13524986</v>
      </c>
      <c r="D64" s="142"/>
      <c r="E64" s="24">
        <v>0</v>
      </c>
      <c r="F64" s="142"/>
      <c r="G64" s="24">
        <v>15544939</v>
      </c>
      <c r="H64" s="142"/>
      <c r="I64" s="24">
        <v>13213684</v>
      </c>
      <c r="J64" s="142"/>
      <c r="K64" s="24">
        <v>12853797</v>
      </c>
      <c r="L64" s="142"/>
      <c r="M64" s="24">
        <v>12039941</v>
      </c>
      <c r="N64" s="142"/>
      <c r="O64" s="24">
        <v>0</v>
      </c>
      <c r="P64" s="142"/>
      <c r="Q64" s="24">
        <v>542840</v>
      </c>
      <c r="R64" s="142"/>
      <c r="S64" s="24">
        <v>0</v>
      </c>
      <c r="T64" s="142"/>
      <c r="U64" s="24">
        <v>1456394</v>
      </c>
      <c r="V64" s="142"/>
      <c r="W64" s="24">
        <v>0</v>
      </c>
      <c r="X64" s="142"/>
      <c r="Y64" s="24">
        <v>423179</v>
      </c>
      <c r="Z64" s="142"/>
      <c r="AA64" s="24">
        <v>308840</v>
      </c>
      <c r="AB64" s="142"/>
      <c r="AC64" s="142">
        <f t="shared" si="4"/>
        <v>69908600</v>
      </c>
      <c r="AD64" s="142"/>
      <c r="AE64" s="150">
        <f t="shared" si="5"/>
        <v>67720187</v>
      </c>
      <c r="AF64" s="151"/>
      <c r="AG64" s="24">
        <f>3785568+705846</f>
        <v>4491414</v>
      </c>
      <c r="AH64" s="34"/>
      <c r="AI64" s="24">
        <v>41933385</v>
      </c>
      <c r="AJ64" s="34"/>
      <c r="AK64" s="24">
        <v>90928</v>
      </c>
      <c r="AL64" s="34"/>
      <c r="AM64" s="34">
        <f>+'Gov Fd Rv'!Q64+'Gov Fd Rv'!S64-'Gov Fnd Exp'!AC64-AG64+AI64-'Gov Fd BS'!U64+AK64</f>
        <v>0</v>
      </c>
    </row>
    <row r="65" spans="1:39" ht="12.75" customHeight="1" hidden="1">
      <c r="A65" s="32" t="s">
        <v>58</v>
      </c>
      <c r="B65" s="42"/>
      <c r="C65" s="24"/>
      <c r="D65" s="142"/>
      <c r="E65" s="24"/>
      <c r="F65" s="142"/>
      <c r="G65" s="24"/>
      <c r="H65" s="142"/>
      <c r="I65" s="24"/>
      <c r="J65" s="142"/>
      <c r="K65" s="24"/>
      <c r="L65" s="142"/>
      <c r="M65" s="24"/>
      <c r="N65" s="142"/>
      <c r="O65" s="24"/>
      <c r="P65" s="142"/>
      <c r="Q65" s="24"/>
      <c r="R65" s="142"/>
      <c r="S65" s="24"/>
      <c r="T65" s="142"/>
      <c r="U65" s="24"/>
      <c r="V65" s="142"/>
      <c r="W65" s="24"/>
      <c r="X65" s="142"/>
      <c r="Y65" s="24"/>
      <c r="Z65" s="142"/>
      <c r="AA65" s="24"/>
      <c r="AB65" s="142"/>
      <c r="AC65" s="142">
        <f t="shared" si="4"/>
        <v>0</v>
      </c>
      <c r="AD65" s="142"/>
      <c r="AE65" s="150">
        <f t="shared" si="5"/>
        <v>0</v>
      </c>
      <c r="AF65" s="151"/>
      <c r="AG65" s="24"/>
      <c r="AH65" s="34"/>
      <c r="AI65" s="24"/>
      <c r="AJ65" s="34"/>
      <c r="AK65" s="24"/>
      <c r="AL65" s="34"/>
      <c r="AM65" s="34">
        <f>+'Gov Fd Rv'!Q65+'Gov Fd Rv'!S65-'Gov Fnd Exp'!AC65-AG65+AI65-'Gov Fd BS'!U65+AK65</f>
        <v>0</v>
      </c>
    </row>
    <row r="66" spans="1:39" ht="12.75" customHeight="1">
      <c r="A66" s="32" t="s">
        <v>59</v>
      </c>
      <c r="B66" s="32"/>
      <c r="C66" s="24">
        <v>30638844</v>
      </c>
      <c r="D66" s="30"/>
      <c r="E66" s="24">
        <v>152253291</v>
      </c>
      <c r="F66" s="30"/>
      <c r="G66" s="24">
        <v>0</v>
      </c>
      <c r="H66" s="30"/>
      <c r="I66" s="24">
        <v>16602745</v>
      </c>
      <c r="J66" s="30"/>
      <c r="K66" s="24">
        <v>0</v>
      </c>
      <c r="L66" s="30"/>
      <c r="M66" s="24">
        <v>232437674</v>
      </c>
      <c r="N66" s="30"/>
      <c r="O66" s="24">
        <v>13721072</v>
      </c>
      <c r="P66" s="30"/>
      <c r="Q66" s="24">
        <v>0</v>
      </c>
      <c r="R66" s="30"/>
      <c r="S66" s="24">
        <v>0</v>
      </c>
      <c r="T66" s="30"/>
      <c r="U66" s="24">
        <v>17068021</v>
      </c>
      <c r="V66" s="30"/>
      <c r="W66" s="24">
        <f>51701+990869+216879+19164445+3306614</f>
        <v>23730508</v>
      </c>
      <c r="X66" s="30"/>
      <c r="Y66" s="24">
        <v>3291303</v>
      </c>
      <c r="Z66" s="30"/>
      <c r="AA66" s="24">
        <v>1538134</v>
      </c>
      <c r="AB66" s="30"/>
      <c r="AC66" s="30">
        <f t="shared" si="2"/>
        <v>491281592</v>
      </c>
      <c r="AD66" s="30"/>
      <c r="AE66" s="103">
        <f t="shared" si="3"/>
        <v>445653626</v>
      </c>
      <c r="AF66" s="33"/>
      <c r="AG66" s="24">
        <v>135159182</v>
      </c>
      <c r="AH66" s="34"/>
      <c r="AI66" s="24">
        <v>262534479</v>
      </c>
      <c r="AJ66" s="34"/>
      <c r="AK66" s="24"/>
      <c r="AL66" s="34"/>
      <c r="AM66" s="34">
        <f>+'Gov Fd Rv'!Q66+'Gov Fd Rv'!S66-'Gov Fnd Exp'!AC66-AG66+AI66-'Gov Fd BS'!U66+AK66</f>
        <v>0</v>
      </c>
    </row>
    <row r="67" spans="1:39" ht="12.75" customHeight="1" hidden="1">
      <c r="A67" s="32" t="s">
        <v>60</v>
      </c>
      <c r="B67" s="32"/>
      <c r="C67" s="24"/>
      <c r="D67" s="30"/>
      <c r="E67" s="24"/>
      <c r="F67" s="30"/>
      <c r="G67" s="24"/>
      <c r="H67" s="30"/>
      <c r="I67" s="24"/>
      <c r="J67" s="30"/>
      <c r="K67" s="24"/>
      <c r="L67" s="30"/>
      <c r="M67" s="24"/>
      <c r="N67" s="30"/>
      <c r="O67" s="24"/>
      <c r="P67" s="30"/>
      <c r="Q67" s="24"/>
      <c r="R67" s="30"/>
      <c r="S67" s="24"/>
      <c r="T67" s="30"/>
      <c r="U67" s="24"/>
      <c r="V67" s="30"/>
      <c r="W67" s="24"/>
      <c r="X67" s="30"/>
      <c r="Y67" s="24"/>
      <c r="Z67" s="30"/>
      <c r="AA67" s="24"/>
      <c r="AB67" s="30"/>
      <c r="AC67" s="30">
        <f t="shared" si="2"/>
        <v>0</v>
      </c>
      <c r="AD67" s="30"/>
      <c r="AE67" s="103">
        <f t="shared" si="3"/>
        <v>0</v>
      </c>
      <c r="AF67" s="33"/>
      <c r="AG67" s="24"/>
      <c r="AH67" s="34"/>
      <c r="AI67" s="24"/>
      <c r="AJ67" s="34"/>
      <c r="AK67" s="24"/>
      <c r="AL67" s="34"/>
      <c r="AM67" s="34">
        <f>+'Gov Fd Rv'!Q67+'Gov Fd Rv'!S67-'Gov Fnd Exp'!AC67-AG67+AI67-'Gov Fd BS'!U67+AK67</f>
        <v>0</v>
      </c>
    </row>
    <row r="68" spans="1:39" ht="12.75" customHeight="1">
      <c r="A68" s="32" t="s">
        <v>97</v>
      </c>
      <c r="B68" s="32"/>
      <c r="C68" s="24">
        <v>3671023</v>
      </c>
      <c r="D68" s="30"/>
      <c r="E68" s="24">
        <v>1741890</v>
      </c>
      <c r="F68" s="30"/>
      <c r="G68" s="24">
        <v>3648514</v>
      </c>
      <c r="H68" s="30"/>
      <c r="I68" s="24">
        <v>4145072</v>
      </c>
      <c r="J68" s="30"/>
      <c r="K68" s="24">
        <v>2867971</v>
      </c>
      <c r="L68" s="30"/>
      <c r="M68" s="24">
        <v>7563110</v>
      </c>
      <c r="N68" s="30"/>
      <c r="O68" s="24">
        <v>956655</v>
      </c>
      <c r="P68" s="30"/>
      <c r="Q68" s="24">
        <v>0</v>
      </c>
      <c r="R68" s="30"/>
      <c r="S68" s="24">
        <f>2104008+24740</f>
        <v>2128748</v>
      </c>
      <c r="T68" s="30"/>
      <c r="U68" s="24">
        <v>1731549</v>
      </c>
      <c r="V68" s="30"/>
      <c r="W68" s="24">
        <v>339423</v>
      </c>
      <c r="X68" s="30"/>
      <c r="Y68" s="24">
        <v>404163</v>
      </c>
      <c r="Z68" s="30"/>
      <c r="AA68" s="24">
        <v>283806</v>
      </c>
      <c r="AB68" s="30"/>
      <c r="AC68" s="30">
        <f t="shared" si="2"/>
        <v>29481924</v>
      </c>
      <c r="AD68" s="30"/>
      <c r="AE68" s="103">
        <f t="shared" si="3"/>
        <v>26722983</v>
      </c>
      <c r="AF68" s="33"/>
      <c r="AG68" s="24">
        <v>432684</v>
      </c>
      <c r="AH68" s="34"/>
      <c r="AI68" s="24">
        <v>11820583</v>
      </c>
      <c r="AJ68" s="34"/>
      <c r="AK68" s="24"/>
      <c r="AL68" s="34"/>
      <c r="AM68" s="34">
        <f>+'Gov Fd Rv'!Q68+'Gov Fd Rv'!S68-'Gov Fnd Exp'!AC68-AG68+AI68-'Gov Fd BS'!U68+AK68</f>
        <v>0</v>
      </c>
    </row>
    <row r="69" spans="1:39" ht="12.75" customHeight="1">
      <c r="A69" s="32" t="s">
        <v>61</v>
      </c>
      <c r="B69" s="32"/>
      <c r="C69" s="24">
        <v>9611199</v>
      </c>
      <c r="D69" s="30"/>
      <c r="E69" s="24">
        <v>6602191</v>
      </c>
      <c r="F69" s="30"/>
      <c r="G69" s="24">
        <v>11466363</v>
      </c>
      <c r="H69" s="30"/>
      <c r="I69" s="24">
        <v>10841795</v>
      </c>
      <c r="J69" s="30"/>
      <c r="K69" s="24">
        <v>1439056</v>
      </c>
      <c r="L69" s="30"/>
      <c r="M69" s="24">
        <v>30963798</v>
      </c>
      <c r="N69" s="30"/>
      <c r="O69" s="24">
        <v>0</v>
      </c>
      <c r="P69" s="30"/>
      <c r="Q69" s="24">
        <v>0</v>
      </c>
      <c r="R69" s="30"/>
      <c r="S69" s="24">
        <v>50000</v>
      </c>
      <c r="T69" s="30"/>
      <c r="U69" s="24">
        <v>2803894</v>
      </c>
      <c r="V69" s="30"/>
      <c r="W69" s="24">
        <v>2096081</v>
      </c>
      <c r="X69" s="30"/>
      <c r="Y69" s="24">
        <v>1421957</v>
      </c>
      <c r="Z69" s="30"/>
      <c r="AA69" s="24">
        <v>532583</v>
      </c>
      <c r="AB69" s="30"/>
      <c r="AC69" s="30">
        <f t="shared" si="2"/>
        <v>77828917</v>
      </c>
      <c r="AD69" s="30"/>
      <c r="AE69" s="103">
        <f t="shared" si="3"/>
        <v>70974402</v>
      </c>
      <c r="AF69" s="33"/>
      <c r="AG69" s="24">
        <f>400000+4515196</f>
        <v>4915196</v>
      </c>
      <c r="AH69" s="34"/>
      <c r="AI69" s="24">
        <v>41622842</v>
      </c>
      <c r="AJ69" s="34"/>
      <c r="AK69" s="24"/>
      <c r="AL69" s="34"/>
      <c r="AM69" s="34">
        <f>+'Gov Fd Rv'!Q69+'Gov Fd Rv'!S69-'Gov Fnd Exp'!AC69-AG69+AI69-'Gov Fd BS'!U69+AK69</f>
        <v>0</v>
      </c>
    </row>
    <row r="70" spans="1:39" ht="12.75" customHeight="1">
      <c r="A70" s="32" t="s">
        <v>62</v>
      </c>
      <c r="B70" s="32"/>
      <c r="C70" s="24">
        <v>1820282</v>
      </c>
      <c r="D70" s="30"/>
      <c r="E70" s="24">
        <v>502471</v>
      </c>
      <c r="F70" s="30"/>
      <c r="G70" s="24">
        <v>1380110</v>
      </c>
      <c r="H70" s="30"/>
      <c r="I70" s="24">
        <v>3405300</v>
      </c>
      <c r="J70" s="30"/>
      <c r="K70" s="24">
        <v>1021097</v>
      </c>
      <c r="L70" s="30"/>
      <c r="M70" s="24">
        <v>2769896</v>
      </c>
      <c r="N70" s="30"/>
      <c r="O70" s="24">
        <v>670545</v>
      </c>
      <c r="P70" s="30"/>
      <c r="Q70" s="24">
        <v>0</v>
      </c>
      <c r="R70" s="30"/>
      <c r="S70" s="24">
        <v>0</v>
      </c>
      <c r="T70" s="30"/>
      <c r="U70" s="24">
        <v>32611</v>
      </c>
      <c r="V70" s="30"/>
      <c r="W70" s="24">
        <v>249545</v>
      </c>
      <c r="X70" s="30"/>
      <c r="Y70" s="24">
        <v>178087</v>
      </c>
      <c r="Z70" s="30"/>
      <c r="AA70" s="24">
        <v>35214</v>
      </c>
      <c r="AB70" s="30"/>
      <c r="AC70" s="30">
        <f t="shared" si="2"/>
        <v>12065158</v>
      </c>
      <c r="AD70" s="30"/>
      <c r="AE70" s="103">
        <f t="shared" si="3"/>
        <v>11569701</v>
      </c>
      <c r="AF70" s="33"/>
      <c r="AG70" s="24">
        <v>218802</v>
      </c>
      <c r="AH70" s="34"/>
      <c r="AI70" s="24">
        <v>5968649</v>
      </c>
      <c r="AJ70" s="34"/>
      <c r="AK70" s="24"/>
      <c r="AL70" s="34"/>
      <c r="AM70" s="34">
        <f>+'Gov Fd Rv'!Q70+'Gov Fd Rv'!S70-'Gov Fnd Exp'!AC70-AG70+AI70-'Gov Fd BS'!U70+AK70</f>
        <v>0</v>
      </c>
    </row>
    <row r="71" spans="1:39" ht="12.75" customHeight="1" hidden="1">
      <c r="A71" s="32" t="s">
        <v>63</v>
      </c>
      <c r="B71" s="32"/>
      <c r="C71" s="24"/>
      <c r="D71" s="30"/>
      <c r="E71" s="24"/>
      <c r="F71" s="30"/>
      <c r="G71" s="24"/>
      <c r="H71" s="30"/>
      <c r="I71" s="24"/>
      <c r="J71" s="30"/>
      <c r="K71" s="24"/>
      <c r="L71" s="30"/>
      <c r="M71" s="24"/>
      <c r="N71" s="30"/>
      <c r="O71" s="24"/>
      <c r="P71" s="30"/>
      <c r="Q71" s="24"/>
      <c r="R71" s="30"/>
      <c r="S71" s="24"/>
      <c r="T71" s="30"/>
      <c r="U71" s="24"/>
      <c r="V71" s="30"/>
      <c r="W71" s="24"/>
      <c r="X71" s="30"/>
      <c r="Y71" s="24"/>
      <c r="Z71" s="30"/>
      <c r="AA71" s="24"/>
      <c r="AB71" s="30"/>
      <c r="AC71" s="30">
        <f t="shared" si="2"/>
        <v>0</v>
      </c>
      <c r="AD71" s="30"/>
      <c r="AE71" s="103">
        <f t="shared" si="3"/>
        <v>0</v>
      </c>
      <c r="AF71" s="33"/>
      <c r="AG71" s="24"/>
      <c r="AH71" s="34"/>
      <c r="AI71" s="24"/>
      <c r="AJ71" s="34"/>
      <c r="AK71" s="24"/>
      <c r="AL71" s="34"/>
      <c r="AM71" s="34">
        <f>+'Gov Fd Rv'!Q71+'Gov Fd Rv'!S71-'Gov Fnd Exp'!AC71-AG71+AI71-'Gov Fd BS'!U71+AK71</f>
        <v>0</v>
      </c>
    </row>
    <row r="72" spans="1:39" ht="12.75" customHeight="1" hidden="1">
      <c r="A72" s="32" t="s">
        <v>131</v>
      </c>
      <c r="B72" s="32"/>
      <c r="C72" s="24"/>
      <c r="D72" s="30"/>
      <c r="E72" s="24"/>
      <c r="F72" s="30"/>
      <c r="G72" s="24"/>
      <c r="H72" s="30"/>
      <c r="I72" s="24"/>
      <c r="J72" s="30"/>
      <c r="K72" s="24"/>
      <c r="L72" s="30"/>
      <c r="M72" s="24"/>
      <c r="N72" s="30"/>
      <c r="O72" s="24"/>
      <c r="P72" s="30"/>
      <c r="Q72" s="24"/>
      <c r="R72" s="30"/>
      <c r="S72" s="24"/>
      <c r="T72" s="30"/>
      <c r="U72" s="24"/>
      <c r="V72" s="30"/>
      <c r="W72" s="24"/>
      <c r="X72" s="30"/>
      <c r="Y72" s="24"/>
      <c r="Z72" s="30"/>
      <c r="AA72" s="24"/>
      <c r="AB72" s="30"/>
      <c r="AC72" s="30">
        <f t="shared" si="2"/>
        <v>0</v>
      </c>
      <c r="AD72" s="30"/>
      <c r="AE72" s="103">
        <f t="shared" si="3"/>
        <v>0</v>
      </c>
      <c r="AF72" s="33"/>
      <c r="AG72" s="24"/>
      <c r="AH72" s="34"/>
      <c r="AI72" s="24"/>
      <c r="AJ72" s="34"/>
      <c r="AK72" s="24"/>
      <c r="AL72" s="34"/>
      <c r="AM72" s="34">
        <f>+'Gov Fd Rv'!Q72+'Gov Fd Rv'!S72-'Gov Fnd Exp'!AC72-AG72+AI72-'Gov Fd BS'!U72+AK72</f>
        <v>0</v>
      </c>
    </row>
    <row r="73" spans="1:39" ht="12.75" customHeight="1" hidden="1">
      <c r="A73" s="32" t="s">
        <v>64</v>
      </c>
      <c r="B73" s="32"/>
      <c r="C73" s="24"/>
      <c r="D73" s="30"/>
      <c r="E73" s="24"/>
      <c r="F73" s="30"/>
      <c r="G73" s="24"/>
      <c r="H73" s="30"/>
      <c r="I73" s="24"/>
      <c r="J73" s="30"/>
      <c r="K73" s="24"/>
      <c r="L73" s="30"/>
      <c r="M73" s="24"/>
      <c r="N73" s="30"/>
      <c r="O73" s="24"/>
      <c r="P73" s="30"/>
      <c r="Q73" s="24"/>
      <c r="R73" s="30"/>
      <c r="S73" s="24"/>
      <c r="T73" s="30"/>
      <c r="U73" s="24"/>
      <c r="V73" s="30"/>
      <c r="W73" s="24"/>
      <c r="X73" s="30"/>
      <c r="Y73" s="24"/>
      <c r="Z73" s="30"/>
      <c r="AA73" s="24"/>
      <c r="AB73" s="30"/>
      <c r="AC73" s="30">
        <f t="shared" si="2"/>
        <v>0</v>
      </c>
      <c r="AD73" s="30"/>
      <c r="AE73" s="103">
        <f t="shared" si="3"/>
        <v>0</v>
      </c>
      <c r="AF73" s="33"/>
      <c r="AG73" s="24"/>
      <c r="AH73" s="34"/>
      <c r="AI73" s="24"/>
      <c r="AJ73" s="34"/>
      <c r="AK73" s="24"/>
      <c r="AL73" s="34"/>
      <c r="AM73" s="34">
        <f>+'Gov Fd Rv'!Q73+'Gov Fd Rv'!S73-'Gov Fnd Exp'!AC73-AG73+AI73-'Gov Fd BS'!U73+AK73</f>
        <v>0</v>
      </c>
    </row>
    <row r="74" spans="1:39" ht="12.75" customHeight="1">
      <c r="A74" s="32" t="s">
        <v>65</v>
      </c>
      <c r="B74" s="32"/>
      <c r="C74" s="24">
        <v>5056850</v>
      </c>
      <c r="D74" s="30"/>
      <c r="E74" s="24">
        <v>2221721</v>
      </c>
      <c r="F74" s="30"/>
      <c r="G74" s="24">
        <v>6745227</v>
      </c>
      <c r="H74" s="30"/>
      <c r="I74" s="24">
        <v>4759736</v>
      </c>
      <c r="J74" s="30"/>
      <c r="K74" s="24">
        <v>3843376</v>
      </c>
      <c r="L74" s="30"/>
      <c r="M74" s="24">
        <v>6895136</v>
      </c>
      <c r="N74" s="30"/>
      <c r="O74" s="24">
        <v>425254</v>
      </c>
      <c r="P74" s="30"/>
      <c r="Q74" s="24">
        <v>340026</v>
      </c>
      <c r="R74" s="30"/>
      <c r="S74" s="24">
        <v>14520</v>
      </c>
      <c r="T74" s="30"/>
      <c r="U74" s="24">
        <v>3202462</v>
      </c>
      <c r="V74" s="30"/>
      <c r="W74" s="24">
        <v>0</v>
      </c>
      <c r="X74" s="30"/>
      <c r="Y74" s="24">
        <v>560521</v>
      </c>
      <c r="Z74" s="30"/>
      <c r="AA74" s="24">
        <v>154832</v>
      </c>
      <c r="AB74" s="30"/>
      <c r="AC74" s="30">
        <f t="shared" si="2"/>
        <v>34219661</v>
      </c>
      <c r="AD74" s="30"/>
      <c r="AE74" s="103">
        <f t="shared" si="3"/>
        <v>30301846</v>
      </c>
      <c r="AF74" s="33"/>
      <c r="AG74" s="24">
        <v>518986</v>
      </c>
      <c r="AH74" s="34"/>
      <c r="AI74" s="24">
        <v>22190570</v>
      </c>
      <c r="AJ74" s="34"/>
      <c r="AK74" s="24"/>
      <c r="AL74" s="34"/>
      <c r="AM74" s="34">
        <f>+'Gov Fd Rv'!Q74+'Gov Fd Rv'!S74-'Gov Fnd Exp'!AC74-AG74+AI74-'Gov Fd BS'!U74+AK74</f>
        <v>0</v>
      </c>
    </row>
    <row r="75" spans="1:39" ht="12.75" customHeight="1">
      <c r="A75" s="32" t="s">
        <v>66</v>
      </c>
      <c r="B75" s="32"/>
      <c r="C75" s="24">
        <v>3706318</v>
      </c>
      <c r="D75" s="30"/>
      <c r="E75" s="24">
        <v>1249672</v>
      </c>
      <c r="F75" s="30"/>
      <c r="G75" s="24">
        <v>2767171</v>
      </c>
      <c r="H75" s="30"/>
      <c r="I75" s="24">
        <v>4122464</v>
      </c>
      <c r="J75" s="30"/>
      <c r="K75" s="24">
        <v>3621443</v>
      </c>
      <c r="L75" s="30"/>
      <c r="M75" s="24">
        <v>5388428</v>
      </c>
      <c r="N75" s="30"/>
      <c r="O75" s="24">
        <v>414815</v>
      </c>
      <c r="P75" s="30"/>
      <c r="Q75" s="24">
        <v>251461</v>
      </c>
      <c r="R75" s="30"/>
      <c r="S75" s="24">
        <v>0</v>
      </c>
      <c r="T75" s="30"/>
      <c r="U75" s="24">
        <v>3264441</v>
      </c>
      <c r="V75" s="30"/>
      <c r="W75" s="24">
        <v>0</v>
      </c>
      <c r="X75" s="30"/>
      <c r="Y75" s="24">
        <v>532478</v>
      </c>
      <c r="Z75" s="30"/>
      <c r="AA75" s="24">
        <v>241615</v>
      </c>
      <c r="AB75" s="30"/>
      <c r="AC75" s="30">
        <f t="shared" si="2"/>
        <v>25560306</v>
      </c>
      <c r="AD75" s="30"/>
      <c r="AE75" s="103">
        <f t="shared" si="3"/>
        <v>21521772</v>
      </c>
      <c r="AF75" s="33"/>
      <c r="AG75" s="24">
        <v>670994</v>
      </c>
      <c r="AH75" s="34"/>
      <c r="AI75" s="24">
        <v>16334575</v>
      </c>
      <c r="AJ75" s="34"/>
      <c r="AK75" s="24"/>
      <c r="AL75" s="34"/>
      <c r="AM75" s="34">
        <f>+'Gov Fd Rv'!Q75+'Gov Fd Rv'!S75-'Gov Fnd Exp'!AC75-AG75+AI75-'Gov Fd BS'!U75+AK75</f>
        <v>0</v>
      </c>
    </row>
    <row r="76" spans="1:39" ht="12.75" customHeight="1">
      <c r="A76" s="32" t="s">
        <v>67</v>
      </c>
      <c r="B76" s="32"/>
      <c r="C76" s="24">
        <v>15230245</v>
      </c>
      <c r="D76" s="30"/>
      <c r="E76" s="24">
        <v>9455783</v>
      </c>
      <c r="F76" s="30"/>
      <c r="G76" s="24">
        <v>15741676</v>
      </c>
      <c r="H76" s="30"/>
      <c r="I76" s="24">
        <v>8092524</v>
      </c>
      <c r="J76" s="30"/>
      <c r="K76" s="24">
        <v>31701851</v>
      </c>
      <c r="L76" s="30"/>
      <c r="M76" s="24">
        <v>20170549</v>
      </c>
      <c r="N76" s="30"/>
      <c r="O76" s="24">
        <v>0</v>
      </c>
      <c r="P76" s="30"/>
      <c r="Q76" s="24">
        <v>0</v>
      </c>
      <c r="R76" s="30"/>
      <c r="S76" s="24">
        <v>0</v>
      </c>
      <c r="T76" s="30"/>
      <c r="U76" s="24">
        <v>4864983</v>
      </c>
      <c r="V76" s="30"/>
      <c r="W76" s="24">
        <v>0</v>
      </c>
      <c r="X76" s="30"/>
      <c r="Y76" s="24">
        <v>1353512</v>
      </c>
      <c r="Z76" s="30"/>
      <c r="AA76" s="24">
        <v>740518</v>
      </c>
      <c r="AB76" s="30"/>
      <c r="AC76" s="30">
        <f t="shared" si="2"/>
        <v>107351641</v>
      </c>
      <c r="AD76" s="30"/>
      <c r="AE76" s="103">
        <f t="shared" si="3"/>
        <v>100392628</v>
      </c>
      <c r="AF76" s="33"/>
      <c r="AG76" s="24">
        <v>272227</v>
      </c>
      <c r="AH76" s="34"/>
      <c r="AI76" s="24">
        <v>69456556</v>
      </c>
      <c r="AJ76" s="34"/>
      <c r="AK76" s="24"/>
      <c r="AL76" s="34"/>
      <c r="AM76" s="34">
        <f>+'Gov Fd Rv'!Q76+'Gov Fd Rv'!S76-'Gov Fnd Exp'!AC76-AG76+AI76-'Gov Fd BS'!U76+AK76</f>
        <v>0</v>
      </c>
    </row>
    <row r="77" spans="1:39" ht="12.75" customHeight="1">
      <c r="A77" s="32" t="s">
        <v>68</v>
      </c>
      <c r="B77" s="32"/>
      <c r="C77" s="24">
        <v>3461663</v>
      </c>
      <c r="D77" s="30"/>
      <c r="E77" s="24">
        <v>1914570</v>
      </c>
      <c r="F77" s="30"/>
      <c r="G77" s="24">
        <v>4244544</v>
      </c>
      <c r="H77" s="30"/>
      <c r="I77" s="24">
        <v>4618093</v>
      </c>
      <c r="J77" s="30"/>
      <c r="K77" s="24">
        <v>2470254</v>
      </c>
      <c r="L77" s="30"/>
      <c r="M77" s="24">
        <v>9128128</v>
      </c>
      <c r="N77" s="30"/>
      <c r="O77" s="24">
        <v>451790</v>
      </c>
      <c r="P77" s="30"/>
      <c r="Q77" s="24">
        <v>0</v>
      </c>
      <c r="R77" s="30"/>
      <c r="S77" s="24">
        <v>70050</v>
      </c>
      <c r="T77" s="30"/>
      <c r="U77" s="24">
        <v>1547493</v>
      </c>
      <c r="V77" s="30"/>
      <c r="W77" s="24">
        <v>37265</v>
      </c>
      <c r="X77" s="30"/>
      <c r="Y77" s="24">
        <v>225643</v>
      </c>
      <c r="Z77" s="30"/>
      <c r="AA77" s="24">
        <v>245882</v>
      </c>
      <c r="AB77" s="30"/>
      <c r="AC77" s="30">
        <f t="shared" si="2"/>
        <v>28415375</v>
      </c>
      <c r="AD77" s="30"/>
      <c r="AE77" s="103">
        <f t="shared" si="3"/>
        <v>26359092</v>
      </c>
      <c r="AF77" s="33"/>
      <c r="AG77" s="24">
        <f>1179345+100097</f>
        <v>1279442</v>
      </c>
      <c r="AH77" s="34"/>
      <c r="AI77" s="24">
        <v>13180285</v>
      </c>
      <c r="AJ77" s="34"/>
      <c r="AK77" s="24"/>
      <c r="AL77" s="34"/>
      <c r="AM77" s="34">
        <f>+'Gov Fd Rv'!Q77+'Gov Fd Rv'!S77-'Gov Fnd Exp'!AC77-AG77+AI77-'Gov Fd BS'!U77+AK77</f>
        <v>0</v>
      </c>
    </row>
    <row r="78" spans="3:37" ht="12.75" customHeight="1">
      <c r="C78" s="24"/>
      <c r="E78" s="24"/>
      <c r="G78" s="24"/>
      <c r="I78" s="24"/>
      <c r="K78" s="24"/>
      <c r="M78" s="24"/>
      <c r="O78" s="24"/>
      <c r="Q78" s="24"/>
      <c r="S78" s="24"/>
      <c r="U78" s="24"/>
      <c r="W78" s="24"/>
      <c r="Y78" s="24"/>
      <c r="AA78" s="24"/>
      <c r="AG78" s="24"/>
      <c r="AI78" s="24"/>
      <c r="AK78" s="24"/>
    </row>
    <row r="79" spans="1:39" s="97" customFormat="1" ht="12.75" customHeight="1">
      <c r="A79" s="32"/>
      <c r="B79" s="32"/>
      <c r="C79" s="24"/>
      <c r="D79" s="30"/>
      <c r="E79" s="24"/>
      <c r="F79" s="30"/>
      <c r="G79" s="24"/>
      <c r="H79" s="30"/>
      <c r="I79" s="24"/>
      <c r="J79" s="30"/>
      <c r="K79" s="24"/>
      <c r="L79" s="30"/>
      <c r="M79" s="24"/>
      <c r="N79" s="30"/>
      <c r="O79" s="24"/>
      <c r="P79" s="30"/>
      <c r="Q79" s="24"/>
      <c r="R79" s="30"/>
      <c r="S79" s="24"/>
      <c r="T79" s="30"/>
      <c r="U79" s="24"/>
      <c r="V79" s="30"/>
      <c r="W79" s="24"/>
      <c r="X79" s="30"/>
      <c r="Y79" s="24"/>
      <c r="Z79" s="30"/>
      <c r="AA79" s="24"/>
      <c r="AB79" s="30"/>
      <c r="AC79" s="30" t="s">
        <v>247</v>
      </c>
      <c r="AD79" s="30"/>
      <c r="AE79" s="103"/>
      <c r="AF79" s="33"/>
      <c r="AG79" s="24"/>
      <c r="AH79" s="34"/>
      <c r="AI79" s="24"/>
      <c r="AJ79" s="34"/>
      <c r="AK79" s="24"/>
      <c r="AL79" s="34"/>
      <c r="AM79" s="34"/>
    </row>
    <row r="80" spans="1:39" s="97" customFormat="1" ht="12.75" customHeight="1" hidden="1">
      <c r="A80" s="148" t="s">
        <v>175</v>
      </c>
      <c r="B80" s="32"/>
      <c r="C80" s="24"/>
      <c r="D80" s="30"/>
      <c r="E80" s="24"/>
      <c r="F80" s="30"/>
      <c r="G80" s="24"/>
      <c r="H80" s="30"/>
      <c r="I80" s="24"/>
      <c r="J80" s="30"/>
      <c r="K80" s="24"/>
      <c r="L80" s="30"/>
      <c r="M80" s="24"/>
      <c r="N80" s="30"/>
      <c r="O80" s="24"/>
      <c r="P80" s="30"/>
      <c r="Q80" s="24"/>
      <c r="R80" s="30"/>
      <c r="S80" s="24"/>
      <c r="T80" s="30"/>
      <c r="U80" s="24"/>
      <c r="V80" s="30"/>
      <c r="W80" s="24"/>
      <c r="X80" s="30"/>
      <c r="Y80" s="24"/>
      <c r="Z80" s="30"/>
      <c r="AA80" s="24"/>
      <c r="AB80" s="30"/>
      <c r="AC80" s="30"/>
      <c r="AD80" s="30"/>
      <c r="AE80" s="103"/>
      <c r="AF80" s="33"/>
      <c r="AG80" s="24"/>
      <c r="AH80" s="34"/>
      <c r="AI80" s="24"/>
      <c r="AJ80" s="34"/>
      <c r="AK80" s="24"/>
      <c r="AL80" s="34"/>
      <c r="AM80" s="34"/>
    </row>
    <row r="81" spans="1:41" ht="12.75" customHeight="1">
      <c r="A81" s="32" t="s">
        <v>177</v>
      </c>
      <c r="B81" s="32"/>
      <c r="C81" s="177">
        <v>8487091</v>
      </c>
      <c r="D81" s="179"/>
      <c r="E81" s="177">
        <v>9520398</v>
      </c>
      <c r="F81" s="179"/>
      <c r="G81" s="177">
        <v>13428127</v>
      </c>
      <c r="H81" s="179"/>
      <c r="I81" s="177">
        <v>4649878</v>
      </c>
      <c r="J81" s="179"/>
      <c r="K81" s="177">
        <v>34332729</v>
      </c>
      <c r="L81" s="179"/>
      <c r="M81" s="177">
        <v>21400104</v>
      </c>
      <c r="N81" s="179"/>
      <c r="O81" s="177">
        <v>427674</v>
      </c>
      <c r="P81" s="179"/>
      <c r="Q81" s="177">
        <v>172177</v>
      </c>
      <c r="R81" s="179"/>
      <c r="S81" s="177">
        <f>284903+4074</f>
        <v>288977</v>
      </c>
      <c r="T81" s="179"/>
      <c r="U81" s="177">
        <v>6245893</v>
      </c>
      <c r="V81" s="179"/>
      <c r="W81" s="177">
        <v>1159650</v>
      </c>
      <c r="X81" s="179"/>
      <c r="Y81" s="177">
        <v>2640360</v>
      </c>
      <c r="Z81" s="179"/>
      <c r="AA81" s="177">
        <v>2066054</v>
      </c>
      <c r="AB81" s="179"/>
      <c r="AC81" s="179">
        <f t="shared" si="2"/>
        <v>104819112</v>
      </c>
      <c r="AD81" s="179"/>
      <c r="AE81" s="179">
        <f t="shared" si="3"/>
        <v>92707155</v>
      </c>
      <c r="AF81" s="177"/>
      <c r="AG81" s="177">
        <f>23577+12175000+4052503</f>
        <v>16251080</v>
      </c>
      <c r="AH81" s="177"/>
      <c r="AI81" s="177">
        <v>45950486</v>
      </c>
      <c r="AJ81" s="177"/>
      <c r="AK81" s="177"/>
      <c r="AL81" s="177"/>
      <c r="AM81" s="177">
        <f>+'Gov Fd Rv'!Q81+'Gov Fd Rv'!S81-'Gov Fnd Exp'!AC81-AG81+AI81-'Gov Fd BS'!U81+AK81</f>
        <v>0</v>
      </c>
      <c r="AN81" s="141"/>
      <c r="AO81" s="141"/>
    </row>
    <row r="82" spans="1:39" ht="12.75" customHeight="1">
      <c r="A82" s="32" t="s">
        <v>69</v>
      </c>
      <c r="B82" s="32"/>
      <c r="C82" s="24">
        <v>6294816</v>
      </c>
      <c r="D82" s="30"/>
      <c r="E82" s="24">
        <v>4048423</v>
      </c>
      <c r="F82" s="30"/>
      <c r="G82" s="24">
        <v>10484799</v>
      </c>
      <c r="H82" s="30"/>
      <c r="I82" s="24">
        <v>6358502</v>
      </c>
      <c r="J82" s="30"/>
      <c r="K82" s="24">
        <v>697433</v>
      </c>
      <c r="L82" s="30"/>
      <c r="M82" s="24">
        <v>21737778</v>
      </c>
      <c r="N82" s="30"/>
      <c r="O82" s="24">
        <v>681432</v>
      </c>
      <c r="P82" s="30"/>
      <c r="Q82" s="24">
        <v>0</v>
      </c>
      <c r="R82" s="30"/>
      <c r="S82" s="24">
        <v>0</v>
      </c>
      <c r="T82" s="30"/>
      <c r="U82" s="24">
        <v>1415833</v>
      </c>
      <c r="V82" s="30"/>
      <c r="W82" s="24">
        <v>25446</v>
      </c>
      <c r="X82" s="30"/>
      <c r="Y82" s="24">
        <v>786115</v>
      </c>
      <c r="Z82" s="30"/>
      <c r="AA82" s="24">
        <v>482629</v>
      </c>
      <c r="AB82" s="30"/>
      <c r="AC82" s="30">
        <f t="shared" si="2"/>
        <v>53013206</v>
      </c>
      <c r="AD82" s="30"/>
      <c r="AE82" s="103">
        <f t="shared" si="3"/>
        <v>50303183</v>
      </c>
      <c r="AF82" s="33"/>
      <c r="AG82" s="24">
        <v>2143364</v>
      </c>
      <c r="AH82" s="34"/>
      <c r="AI82" s="24">
        <v>12696591</v>
      </c>
      <c r="AJ82" s="34"/>
      <c r="AK82" s="24"/>
      <c r="AL82" s="34"/>
      <c r="AM82" s="34">
        <f>+'Gov Fd Rv'!Q82+'Gov Fd Rv'!S82-'Gov Fnd Exp'!AC82-AG82+AI82-'Gov Fd BS'!U82+AK82</f>
        <v>0</v>
      </c>
    </row>
    <row r="83" spans="1:39" ht="12.75" customHeight="1">
      <c r="A83" s="32" t="s">
        <v>98</v>
      </c>
      <c r="B83" s="32"/>
      <c r="C83" s="24">
        <v>8082024</v>
      </c>
      <c r="D83" s="30"/>
      <c r="E83" s="24">
        <v>3180620</v>
      </c>
      <c r="F83" s="30"/>
      <c r="G83" s="24">
        <v>10348801</v>
      </c>
      <c r="H83" s="30"/>
      <c r="I83" s="24">
        <v>5761734</v>
      </c>
      <c r="J83" s="30"/>
      <c r="K83" s="24">
        <v>355742</v>
      </c>
      <c r="L83" s="30"/>
      <c r="M83" s="24">
        <v>19527201</v>
      </c>
      <c r="N83" s="30"/>
      <c r="O83" s="24">
        <v>675874</v>
      </c>
      <c r="P83" s="30"/>
      <c r="Q83" s="24">
        <v>0</v>
      </c>
      <c r="R83" s="30"/>
      <c r="S83" s="24">
        <v>0</v>
      </c>
      <c r="T83" s="30"/>
      <c r="U83" s="24">
        <v>1539981</v>
      </c>
      <c r="V83" s="30"/>
      <c r="W83" s="24">
        <v>172234</v>
      </c>
      <c r="X83" s="30"/>
      <c r="Y83" s="24">
        <v>416691</v>
      </c>
      <c r="Z83" s="30"/>
      <c r="AA83" s="24">
        <v>185740</v>
      </c>
      <c r="AB83" s="30"/>
      <c r="AC83" s="30">
        <f t="shared" si="2"/>
        <v>50246642</v>
      </c>
      <c r="AD83" s="30"/>
      <c r="AE83" s="103">
        <f t="shared" si="3"/>
        <v>47931996</v>
      </c>
      <c r="AF83" s="33"/>
      <c r="AG83" s="24">
        <v>1713818</v>
      </c>
      <c r="AH83" s="34"/>
      <c r="AI83" s="24">
        <v>26245439</v>
      </c>
      <c r="AJ83" s="34"/>
      <c r="AK83" s="24"/>
      <c r="AL83" s="34"/>
      <c r="AM83" s="34">
        <f>+'Gov Fd Rv'!Q83+'Gov Fd Rv'!S83-'Gov Fnd Exp'!AC83-AG83+AI83-'Gov Fd BS'!U83+AK83</f>
        <v>0</v>
      </c>
    </row>
    <row r="84" spans="1:39" ht="12.75" customHeight="1">
      <c r="A84" s="32" t="s">
        <v>70</v>
      </c>
      <c r="B84" s="32"/>
      <c r="C84" s="24">
        <v>7387673</v>
      </c>
      <c r="D84" s="30"/>
      <c r="E84" s="24">
        <v>2387502</v>
      </c>
      <c r="F84" s="30"/>
      <c r="G84" s="24">
        <f>5006320+1848982</f>
        <v>6855302</v>
      </c>
      <c r="H84" s="30"/>
      <c r="I84" s="24">
        <v>3077683</v>
      </c>
      <c r="J84" s="30"/>
      <c r="K84" s="24">
        <v>10112896</v>
      </c>
      <c r="L84" s="30"/>
      <c r="M84" s="24">
        <v>11296086</v>
      </c>
      <c r="N84" s="30"/>
      <c r="O84" s="24">
        <v>1464303</v>
      </c>
      <c r="P84" s="30"/>
      <c r="Q84" s="24">
        <v>165099</v>
      </c>
      <c r="R84" s="30"/>
      <c r="S84" s="24">
        <v>750335</v>
      </c>
      <c r="T84" s="30"/>
      <c r="U84" s="24">
        <v>6036706</v>
      </c>
      <c r="V84" s="30"/>
      <c r="W84" s="24">
        <v>0</v>
      </c>
      <c r="X84" s="30"/>
      <c r="Y84" s="24">
        <v>1417504</v>
      </c>
      <c r="Z84" s="30"/>
      <c r="AA84" s="24">
        <v>661508</v>
      </c>
      <c r="AB84" s="30"/>
      <c r="AC84" s="30">
        <f aca="true" t="shared" si="6" ref="AC84:AC90">SUM(C84:AA84)</f>
        <v>51612597</v>
      </c>
      <c r="AD84" s="30"/>
      <c r="AE84" s="103">
        <f aca="true" t="shared" si="7" ref="AE84:AE90">SUM(C84:S84)</f>
        <v>43496879</v>
      </c>
      <c r="AF84" s="24"/>
      <c r="AG84" s="24">
        <v>1411263</v>
      </c>
      <c r="AH84" s="102"/>
      <c r="AI84" s="24">
        <v>16618093</v>
      </c>
      <c r="AJ84" s="102"/>
      <c r="AK84" s="24"/>
      <c r="AL84" s="102"/>
      <c r="AM84" s="34">
        <f>+'Gov Fd Rv'!Q84+'Gov Fd Rv'!S84-'Gov Fnd Exp'!AC84-AG84+AI84-'Gov Fd BS'!U84+AK84</f>
        <v>0</v>
      </c>
    </row>
    <row r="85" spans="1:39" ht="12.75" customHeight="1">
      <c r="A85" s="32" t="s">
        <v>71</v>
      </c>
      <c r="B85" s="32"/>
      <c r="C85" s="24">
        <v>5919438</v>
      </c>
      <c r="D85" s="30"/>
      <c r="E85" s="24">
        <v>2599677</v>
      </c>
      <c r="F85" s="30"/>
      <c r="G85" s="24">
        <v>6526179</v>
      </c>
      <c r="H85" s="30"/>
      <c r="I85" s="24">
        <v>3381841</v>
      </c>
      <c r="J85" s="30"/>
      <c r="K85" s="24">
        <v>9155363</v>
      </c>
      <c r="L85" s="30"/>
      <c r="M85" s="24">
        <v>7158604</v>
      </c>
      <c r="N85" s="30"/>
      <c r="O85" s="24">
        <v>5396</v>
      </c>
      <c r="P85" s="30"/>
      <c r="Q85" s="24">
        <v>168507</v>
      </c>
      <c r="R85" s="30"/>
      <c r="S85" s="24">
        <v>0</v>
      </c>
      <c r="T85" s="30"/>
      <c r="U85" s="24">
        <v>5244915</v>
      </c>
      <c r="V85" s="30"/>
      <c r="W85" s="24">
        <v>0</v>
      </c>
      <c r="X85" s="30"/>
      <c r="Y85" s="24">
        <v>449710</v>
      </c>
      <c r="Z85" s="30"/>
      <c r="AA85" s="24">
        <v>136339</v>
      </c>
      <c r="AB85" s="30"/>
      <c r="AC85" s="30">
        <f t="shared" si="6"/>
        <v>40745969</v>
      </c>
      <c r="AD85" s="30"/>
      <c r="AE85" s="103">
        <f t="shared" si="7"/>
        <v>34915005</v>
      </c>
      <c r="AF85" s="33"/>
      <c r="AG85" s="24">
        <v>2796178</v>
      </c>
      <c r="AH85" s="34"/>
      <c r="AI85" s="24">
        <v>24892234</v>
      </c>
      <c r="AJ85" s="34"/>
      <c r="AK85" s="24"/>
      <c r="AL85" s="34"/>
      <c r="AM85" s="34">
        <f>+'Gov Fd Rv'!Q85+'Gov Fd Rv'!S85-'Gov Fnd Exp'!AC85-AG85+AI85-'Gov Fd BS'!U85+AK85</f>
        <v>0</v>
      </c>
    </row>
    <row r="86" spans="1:39" ht="12.75" customHeight="1">
      <c r="A86" s="32" t="s">
        <v>72</v>
      </c>
      <c r="B86" s="32"/>
      <c r="C86" s="24">
        <v>4402532</v>
      </c>
      <c r="D86" s="30"/>
      <c r="E86" s="24">
        <v>2450189</v>
      </c>
      <c r="F86" s="30"/>
      <c r="G86" s="24">
        <v>4585668</v>
      </c>
      <c r="H86" s="30"/>
      <c r="I86" s="24">
        <v>7862118</v>
      </c>
      <c r="J86" s="30"/>
      <c r="K86" s="24">
        <v>217484</v>
      </c>
      <c r="L86" s="30"/>
      <c r="M86" s="24">
        <v>13758937</v>
      </c>
      <c r="N86" s="30"/>
      <c r="O86" s="24">
        <v>438675</v>
      </c>
      <c r="P86" s="30"/>
      <c r="Q86" s="24">
        <v>0</v>
      </c>
      <c r="R86" s="30"/>
      <c r="S86" s="24">
        <v>0</v>
      </c>
      <c r="T86" s="30"/>
      <c r="U86" s="24">
        <v>247652</v>
      </c>
      <c r="V86" s="30"/>
      <c r="W86" s="24">
        <v>238219</v>
      </c>
      <c r="X86" s="30"/>
      <c r="Y86" s="24">
        <v>274675</v>
      </c>
      <c r="Z86" s="30"/>
      <c r="AA86" s="24">
        <v>28749</v>
      </c>
      <c r="AB86" s="30"/>
      <c r="AC86" s="30">
        <f t="shared" si="6"/>
        <v>34504898</v>
      </c>
      <c r="AD86" s="30"/>
      <c r="AE86" s="103">
        <f t="shared" si="7"/>
        <v>33715603</v>
      </c>
      <c r="AF86" s="33"/>
      <c r="AG86" s="24">
        <v>1162155</v>
      </c>
      <c r="AH86" s="34"/>
      <c r="AI86" s="24">
        <v>19838739</v>
      </c>
      <c r="AJ86" s="34"/>
      <c r="AK86" s="24"/>
      <c r="AL86" s="34"/>
      <c r="AM86" s="34">
        <f>+'Gov Fd Rv'!Q86+'Gov Fd Rv'!S86-'Gov Fnd Exp'!AC86-AG86+AI86-'Gov Fd BS'!U86+AK86</f>
        <v>0</v>
      </c>
    </row>
    <row r="87" spans="1:39" ht="12.75" customHeight="1">
      <c r="A87" s="32" t="s">
        <v>73</v>
      </c>
      <c r="B87" s="32"/>
      <c r="C87" s="24">
        <v>25045141</v>
      </c>
      <c r="D87" s="30"/>
      <c r="E87" s="24">
        <v>15565920</v>
      </c>
      <c r="F87" s="30"/>
      <c r="G87" s="24">
        <v>24272009</v>
      </c>
      <c r="H87" s="30"/>
      <c r="I87" s="24">
        <v>21663175</v>
      </c>
      <c r="J87" s="30"/>
      <c r="K87" s="24">
        <v>85022929</v>
      </c>
      <c r="L87" s="30"/>
      <c r="M87" s="24">
        <v>50702956</v>
      </c>
      <c r="N87" s="30"/>
      <c r="O87" s="24">
        <v>0</v>
      </c>
      <c r="P87" s="30"/>
      <c r="Q87" s="24">
        <v>0</v>
      </c>
      <c r="R87" s="30"/>
      <c r="S87" s="24">
        <v>61740</v>
      </c>
      <c r="T87" s="30"/>
      <c r="U87" s="24">
        <v>8396772</v>
      </c>
      <c r="V87" s="30"/>
      <c r="W87" s="24">
        <v>80938</v>
      </c>
      <c r="X87" s="30"/>
      <c r="Y87" s="24">
        <v>1357040</v>
      </c>
      <c r="Z87" s="30"/>
      <c r="AA87" s="24">
        <v>315117</v>
      </c>
      <c r="AB87" s="30"/>
      <c r="AC87" s="30">
        <f t="shared" si="6"/>
        <v>232483737</v>
      </c>
      <c r="AD87" s="30"/>
      <c r="AE87" s="103">
        <f t="shared" si="7"/>
        <v>222333870</v>
      </c>
      <c r="AF87" s="33"/>
      <c r="AG87" s="24">
        <v>350000</v>
      </c>
      <c r="AH87" s="34"/>
      <c r="AI87" s="24">
        <v>104773962</v>
      </c>
      <c r="AJ87" s="34"/>
      <c r="AK87" s="24"/>
      <c r="AL87" s="34"/>
      <c r="AM87" s="34">
        <f>+'Gov Fd Rv'!Q87+'Gov Fd Rv'!S87-'Gov Fnd Exp'!AC87-AG87+AI87-'Gov Fd BS'!U87+AK87</f>
        <v>0</v>
      </c>
    </row>
    <row r="88" spans="1:39" ht="12.75" customHeight="1">
      <c r="A88" s="32" t="s">
        <v>74</v>
      </c>
      <c r="B88" s="32"/>
      <c r="C88" s="24">
        <v>29567811</v>
      </c>
      <c r="D88" s="30"/>
      <c r="E88" s="24">
        <v>28670196</v>
      </c>
      <c r="F88" s="30"/>
      <c r="G88" s="24">
        <v>75836687</v>
      </c>
      <c r="H88" s="30"/>
      <c r="I88" s="24">
        <v>16020885</v>
      </c>
      <c r="J88" s="30"/>
      <c r="K88" s="24">
        <v>142497364</v>
      </c>
      <c r="L88" s="30"/>
      <c r="M88" s="24">
        <v>45732602</v>
      </c>
      <c r="N88" s="30"/>
      <c r="O88" s="24">
        <v>6789800</v>
      </c>
      <c r="P88" s="30"/>
      <c r="Q88" s="24">
        <v>8379355</v>
      </c>
      <c r="R88" s="30"/>
      <c r="S88" s="24">
        <v>1013400</v>
      </c>
      <c r="T88" s="30"/>
      <c r="U88" s="24">
        <v>2870496</v>
      </c>
      <c r="V88" s="30"/>
      <c r="W88" s="24">
        <v>365848</v>
      </c>
      <c r="X88" s="30"/>
      <c r="Y88" s="24">
        <v>5392387</v>
      </c>
      <c r="Z88" s="30"/>
      <c r="AA88" s="24">
        <v>3824283</v>
      </c>
      <c r="AB88" s="30"/>
      <c r="AC88" s="30">
        <f t="shared" si="6"/>
        <v>366961114</v>
      </c>
      <c r="AD88" s="30"/>
      <c r="AE88" s="103">
        <f t="shared" si="7"/>
        <v>354508100</v>
      </c>
      <c r="AF88" s="33"/>
      <c r="AG88" s="24">
        <v>6770365</v>
      </c>
      <c r="AH88" s="34"/>
      <c r="AI88" s="24">
        <v>213803584</v>
      </c>
      <c r="AJ88" s="34"/>
      <c r="AK88" s="24"/>
      <c r="AL88" s="34"/>
      <c r="AM88" s="34">
        <f>+'Gov Fd Rv'!Q88+'Gov Fd Rv'!S88-'Gov Fnd Exp'!AC88-AG88+AI88-'Gov Fd BS'!U88+AK88</f>
        <v>188356593</v>
      </c>
    </row>
    <row r="89" spans="1:39" ht="12.75" customHeight="1">
      <c r="A89" s="32" t="s">
        <v>75</v>
      </c>
      <c r="B89" s="32"/>
      <c r="C89" s="24">
        <v>22112143</v>
      </c>
      <c r="D89" s="30"/>
      <c r="E89" s="24">
        <v>12275502</v>
      </c>
      <c r="F89" s="30"/>
      <c r="G89" s="24">
        <v>56451714</v>
      </c>
      <c r="H89" s="30"/>
      <c r="I89" s="24">
        <v>12863386</v>
      </c>
      <c r="J89" s="30"/>
      <c r="K89" s="24">
        <v>40806856</v>
      </c>
      <c r="L89" s="30"/>
      <c r="M89" s="24">
        <v>39996473</v>
      </c>
      <c r="N89" s="30"/>
      <c r="O89" s="24">
        <v>454713</v>
      </c>
      <c r="P89" s="30"/>
      <c r="Q89" s="24">
        <v>0</v>
      </c>
      <c r="R89" s="30"/>
      <c r="S89" s="24">
        <v>93457</v>
      </c>
      <c r="T89" s="30"/>
      <c r="U89" s="24">
        <v>1284174</v>
      </c>
      <c r="V89" s="30"/>
      <c r="W89" s="24">
        <v>0</v>
      </c>
      <c r="X89" s="30"/>
      <c r="Y89" s="24">
        <v>2513727</v>
      </c>
      <c r="Z89" s="30"/>
      <c r="AA89" s="24">
        <v>998450</v>
      </c>
      <c r="AB89" s="30"/>
      <c r="AC89" s="30">
        <f t="shared" si="6"/>
        <v>189850595</v>
      </c>
      <c r="AD89" s="30"/>
      <c r="AE89" s="103">
        <f t="shared" si="7"/>
        <v>185054244</v>
      </c>
      <c r="AF89" s="33"/>
      <c r="AG89" s="24">
        <f>5318563+3214966</f>
        <v>8533529</v>
      </c>
      <c r="AH89" s="34"/>
      <c r="AI89" s="24">
        <v>66939096</v>
      </c>
      <c r="AJ89" s="34"/>
      <c r="AK89" s="24"/>
      <c r="AL89" s="34"/>
      <c r="AM89" s="34">
        <f>+'Gov Fd Rv'!Q89+'Gov Fd Rv'!S89-'Gov Fnd Exp'!AC89-AG89+AI89-'Gov Fd BS'!U89+AK89</f>
        <v>3187604</v>
      </c>
    </row>
    <row r="90" spans="1:39" ht="12.75" customHeight="1">
      <c r="A90" s="32" t="s">
        <v>76</v>
      </c>
      <c r="B90" s="32"/>
      <c r="C90" s="24">
        <v>7248163</v>
      </c>
      <c r="D90" s="30"/>
      <c r="E90" s="24">
        <v>4315643</v>
      </c>
      <c r="F90" s="30"/>
      <c r="G90" s="24">
        <v>7226587</v>
      </c>
      <c r="H90" s="30"/>
      <c r="I90" s="24">
        <v>6500031</v>
      </c>
      <c r="J90" s="30"/>
      <c r="K90" s="24">
        <v>8943608</v>
      </c>
      <c r="L90" s="30"/>
      <c r="M90" s="24">
        <v>13048877</v>
      </c>
      <c r="N90" s="30"/>
      <c r="O90" s="24">
        <v>0</v>
      </c>
      <c r="P90" s="30"/>
      <c r="Q90" s="24">
        <v>362076</v>
      </c>
      <c r="R90" s="30"/>
      <c r="S90" s="24">
        <v>0</v>
      </c>
      <c r="T90" s="30"/>
      <c r="U90" s="24">
        <v>2577180</v>
      </c>
      <c r="V90" s="30"/>
      <c r="W90" s="24">
        <v>1888248</v>
      </c>
      <c r="X90" s="30"/>
      <c r="Y90" s="24">
        <v>113655</v>
      </c>
      <c r="Z90" s="30"/>
      <c r="AA90" s="24">
        <v>110899</v>
      </c>
      <c r="AB90" s="30"/>
      <c r="AC90" s="30">
        <f t="shared" si="6"/>
        <v>52334967</v>
      </c>
      <c r="AD90" s="30"/>
      <c r="AE90" s="103">
        <f t="shared" si="7"/>
        <v>47644985</v>
      </c>
      <c r="AF90" s="33"/>
      <c r="AG90" s="24">
        <v>4046023</v>
      </c>
      <c r="AH90" s="34"/>
      <c r="AI90" s="24">
        <v>42779175</v>
      </c>
      <c r="AJ90" s="34"/>
      <c r="AK90" s="24"/>
      <c r="AL90" s="34"/>
      <c r="AM90" s="34">
        <f>+'Gov Fd Rv'!Q90+'Gov Fd Rv'!S90-'Gov Fnd Exp'!AC90-AG90+AI90-'Gov Fd BS'!U90+AK90</f>
        <v>0</v>
      </c>
    </row>
    <row r="91" spans="1:39" s="39" customFormat="1" ht="12.75" customHeight="1">
      <c r="A91" s="24" t="s">
        <v>77</v>
      </c>
      <c r="B91" s="24"/>
      <c r="C91" s="24">
        <v>10794384</v>
      </c>
      <c r="D91" s="30"/>
      <c r="E91" s="24">
        <v>2812044</v>
      </c>
      <c r="F91" s="30"/>
      <c r="G91" s="24">
        <v>6878971</v>
      </c>
      <c r="H91" s="30"/>
      <c r="I91" s="24">
        <v>5876236</v>
      </c>
      <c r="J91" s="30"/>
      <c r="K91" s="24">
        <v>3199561</v>
      </c>
      <c r="L91" s="30"/>
      <c r="M91" s="24">
        <v>15542198</v>
      </c>
      <c r="N91" s="30"/>
      <c r="O91" s="24">
        <v>361247</v>
      </c>
      <c r="P91" s="30"/>
      <c r="Q91" s="24">
        <v>0</v>
      </c>
      <c r="R91" s="30"/>
      <c r="S91" s="24">
        <v>0</v>
      </c>
      <c r="T91" s="30"/>
      <c r="U91" s="24">
        <v>4129296</v>
      </c>
      <c r="V91" s="30"/>
      <c r="W91" s="24">
        <v>1052051</v>
      </c>
      <c r="X91" s="30"/>
      <c r="Y91" s="24">
        <v>993167</v>
      </c>
      <c r="Z91" s="30"/>
      <c r="AA91" s="24">
        <v>322780</v>
      </c>
      <c r="AB91" s="30"/>
      <c r="AC91" s="30">
        <f t="shared" si="2"/>
        <v>51961935</v>
      </c>
      <c r="AD91" s="30"/>
      <c r="AE91" s="103">
        <f t="shared" si="3"/>
        <v>45464641</v>
      </c>
      <c r="AF91" s="24"/>
      <c r="AG91" s="24">
        <v>1593281</v>
      </c>
      <c r="AH91" s="34"/>
      <c r="AI91" s="24">
        <v>30189574</v>
      </c>
      <c r="AJ91" s="34"/>
      <c r="AK91" s="24">
        <v>7291</v>
      </c>
      <c r="AL91" s="102"/>
      <c r="AM91" s="34">
        <f>+'Gov Fd Rv'!Q91+'Gov Fd Rv'!S91-'Gov Fnd Exp'!AC91-AG91+AI91-'Gov Fd BS'!U91+AK91</f>
        <v>0</v>
      </c>
    </row>
    <row r="92" spans="1:39" ht="12.75" customHeight="1">
      <c r="A92" s="32" t="s">
        <v>78</v>
      </c>
      <c r="B92" s="32"/>
      <c r="C92" s="24">
        <v>4741914</v>
      </c>
      <c r="D92" s="30"/>
      <c r="E92" s="24">
        <v>1336425</v>
      </c>
      <c r="F92" s="30"/>
      <c r="G92" s="24">
        <v>2959188</v>
      </c>
      <c r="H92" s="30"/>
      <c r="I92" s="24">
        <v>4680121</v>
      </c>
      <c r="J92" s="30"/>
      <c r="K92" s="24">
        <v>112762</v>
      </c>
      <c r="L92" s="30"/>
      <c r="M92" s="24">
        <v>6895697</v>
      </c>
      <c r="N92" s="30"/>
      <c r="O92" s="24">
        <v>1245671</v>
      </c>
      <c r="P92" s="30"/>
      <c r="Q92" s="24">
        <v>4711</v>
      </c>
      <c r="R92" s="30"/>
      <c r="S92" s="24">
        <v>0</v>
      </c>
      <c r="T92" s="30"/>
      <c r="U92" s="24">
        <v>147333</v>
      </c>
      <c r="V92" s="30"/>
      <c r="W92" s="24">
        <v>80347</v>
      </c>
      <c r="X92" s="30"/>
      <c r="Y92" s="24">
        <v>497116</v>
      </c>
      <c r="Z92" s="30"/>
      <c r="AA92" s="24">
        <v>248847</v>
      </c>
      <c r="AB92" s="30"/>
      <c r="AC92" s="30">
        <f t="shared" si="2"/>
        <v>22950132</v>
      </c>
      <c r="AD92" s="30"/>
      <c r="AE92" s="103">
        <f t="shared" si="3"/>
        <v>21976489</v>
      </c>
      <c r="AF92" s="33"/>
      <c r="AG92" s="24">
        <v>308464</v>
      </c>
      <c r="AH92" s="34"/>
      <c r="AI92" s="24">
        <v>8671607</v>
      </c>
      <c r="AJ92" s="34"/>
      <c r="AK92" s="24"/>
      <c r="AL92" s="34"/>
      <c r="AM92" s="34">
        <f>+'Gov Fd Rv'!Q92+'Gov Fd Rv'!S92-'Gov Fnd Exp'!AC92-AG92+AI92-'Gov Fd BS'!U92+AK92</f>
        <v>0</v>
      </c>
    </row>
    <row r="93" spans="1:39" ht="12.75" customHeight="1" hidden="1">
      <c r="A93" s="32" t="s">
        <v>79</v>
      </c>
      <c r="B93" s="32"/>
      <c r="C93" s="24"/>
      <c r="D93" s="30"/>
      <c r="E93" s="24"/>
      <c r="F93" s="30"/>
      <c r="G93" s="24"/>
      <c r="H93" s="30"/>
      <c r="I93" s="24"/>
      <c r="J93" s="30"/>
      <c r="K93" s="24"/>
      <c r="L93" s="30"/>
      <c r="M93" s="24"/>
      <c r="N93" s="30"/>
      <c r="O93" s="24"/>
      <c r="P93" s="30"/>
      <c r="Q93" s="24"/>
      <c r="R93" s="30"/>
      <c r="S93" s="24"/>
      <c r="T93" s="30"/>
      <c r="U93" s="24"/>
      <c r="V93" s="30"/>
      <c r="W93" s="24"/>
      <c r="X93" s="30"/>
      <c r="Y93" s="24"/>
      <c r="Z93" s="30"/>
      <c r="AA93" s="24"/>
      <c r="AB93" s="30"/>
      <c r="AC93" s="30">
        <f t="shared" si="2"/>
        <v>0</v>
      </c>
      <c r="AD93" s="30"/>
      <c r="AE93" s="103">
        <f t="shared" si="3"/>
        <v>0</v>
      </c>
      <c r="AF93" s="33"/>
      <c r="AG93" s="24"/>
      <c r="AH93" s="34"/>
      <c r="AI93" s="24"/>
      <c r="AJ93" s="34"/>
      <c r="AK93" s="24"/>
      <c r="AL93" s="34"/>
      <c r="AM93" s="34">
        <f>+'Gov Fd Rv'!Q93+'Gov Fd Rv'!S93-'Gov Fnd Exp'!AC93-AG93+AI93-'Gov Fd BS'!U93+AK93</f>
        <v>0</v>
      </c>
    </row>
    <row r="94" spans="1:39" ht="12.75" customHeight="1">
      <c r="A94" s="32" t="s">
        <v>80</v>
      </c>
      <c r="B94" s="32"/>
      <c r="C94" s="24">
        <v>20377060</v>
      </c>
      <c r="D94" s="30"/>
      <c r="E94" s="24">
        <v>9263271</v>
      </c>
      <c r="F94" s="30"/>
      <c r="G94" s="24">
        <v>29732494</v>
      </c>
      <c r="H94" s="30"/>
      <c r="I94" s="24">
        <v>7270195</v>
      </c>
      <c r="J94" s="30"/>
      <c r="K94" s="24">
        <v>713084</v>
      </c>
      <c r="L94" s="30"/>
      <c r="M94" s="24">
        <v>42883850</v>
      </c>
      <c r="N94" s="30"/>
      <c r="O94" s="24">
        <v>1200266</v>
      </c>
      <c r="P94" s="30"/>
      <c r="Q94" s="24">
        <v>0</v>
      </c>
      <c r="R94" s="30"/>
      <c r="S94" s="24">
        <v>0</v>
      </c>
      <c r="T94" s="30"/>
      <c r="U94" s="24">
        <v>9114384</v>
      </c>
      <c r="V94" s="30"/>
      <c r="W94" s="24">
        <v>0</v>
      </c>
      <c r="X94" s="30"/>
      <c r="Y94" s="24">
        <v>2937158</v>
      </c>
      <c r="Z94" s="30"/>
      <c r="AA94" s="24">
        <v>1302481</v>
      </c>
      <c r="AB94" s="30"/>
      <c r="AC94" s="30">
        <f aca="true" t="shared" si="8" ref="AC94:AC99">SUM(C94:AA94)</f>
        <v>124794243</v>
      </c>
      <c r="AD94" s="30"/>
      <c r="AE94" s="103">
        <f aca="true" t="shared" si="9" ref="AE94:AE99">SUM(C94:S94)</f>
        <v>111440220</v>
      </c>
      <c r="AF94" s="33"/>
      <c r="AG94" s="24">
        <v>8952572</v>
      </c>
      <c r="AH94" s="34"/>
      <c r="AI94" s="24">
        <v>121098848</v>
      </c>
      <c r="AJ94" s="34"/>
      <c r="AK94" s="24">
        <v>207015</v>
      </c>
      <c r="AL94" s="34"/>
      <c r="AM94" s="34">
        <f>+'Gov Fd Rv'!Q94+'Gov Fd Rv'!S94-'Gov Fnd Exp'!AC94-AG94+AI94-'Gov Fd BS'!U94+AK94</f>
        <v>0</v>
      </c>
    </row>
    <row r="95" spans="1:39" ht="12.75" customHeight="1">
      <c r="A95" s="32" t="s">
        <v>81</v>
      </c>
      <c r="B95" s="32"/>
      <c r="C95" s="24">
        <v>6539100</v>
      </c>
      <c r="D95" s="30"/>
      <c r="E95" s="24">
        <v>2607529</v>
      </c>
      <c r="F95" s="30"/>
      <c r="G95" s="24">
        <v>7922267</v>
      </c>
      <c r="H95" s="30"/>
      <c r="I95" s="24">
        <v>8571039</v>
      </c>
      <c r="J95" s="30"/>
      <c r="K95" s="24">
        <f>5209532+7754730+2824372+298539</f>
        <v>16087173</v>
      </c>
      <c r="L95" s="30"/>
      <c r="M95" s="24">
        <f>897535+2345446+4474567+1654580</f>
        <v>9372128</v>
      </c>
      <c r="N95" s="30"/>
      <c r="O95" s="24">
        <v>676969</v>
      </c>
      <c r="P95" s="30"/>
      <c r="Q95" s="24">
        <v>0</v>
      </c>
      <c r="R95" s="30"/>
      <c r="S95" s="24">
        <v>37140</v>
      </c>
      <c r="T95" s="30"/>
      <c r="U95" s="24">
        <v>222271</v>
      </c>
      <c r="V95" s="30"/>
      <c r="W95" s="24">
        <v>642571</v>
      </c>
      <c r="X95" s="30"/>
      <c r="Y95" s="24">
        <v>2170348</v>
      </c>
      <c r="Z95" s="30"/>
      <c r="AA95" s="24">
        <v>234723</v>
      </c>
      <c r="AB95" s="30"/>
      <c r="AC95" s="30">
        <f t="shared" si="8"/>
        <v>55083258</v>
      </c>
      <c r="AD95" s="30"/>
      <c r="AE95" s="103">
        <f t="shared" si="9"/>
        <v>51813345</v>
      </c>
      <c r="AF95" s="33"/>
      <c r="AG95" s="24">
        <f>11690+1150569</f>
        <v>1162259</v>
      </c>
      <c r="AH95" s="34"/>
      <c r="AI95" s="24">
        <v>28650324</v>
      </c>
      <c r="AJ95" s="34"/>
      <c r="AK95" s="24"/>
      <c r="AL95" s="34"/>
      <c r="AM95" s="34">
        <f>+'Gov Fd Rv'!Q95+'Gov Fd Rv'!S95-'Gov Fnd Exp'!AC95-AG95+AI95-'Gov Fd BS'!U95+AK95</f>
        <v>0</v>
      </c>
    </row>
    <row r="96" spans="1:39" ht="12.75" customHeight="1">
      <c r="A96" s="32" t="s">
        <v>82</v>
      </c>
      <c r="B96" s="32"/>
      <c r="C96" s="24">
        <v>7438708</v>
      </c>
      <c r="D96" s="30"/>
      <c r="E96" s="24">
        <v>5187927</v>
      </c>
      <c r="F96" s="30"/>
      <c r="G96" s="24">
        <v>9872561</v>
      </c>
      <c r="H96" s="30"/>
      <c r="I96" s="24">
        <v>6997782</v>
      </c>
      <c r="J96" s="30"/>
      <c r="K96" s="24">
        <v>595755</v>
      </c>
      <c r="L96" s="30"/>
      <c r="M96" s="24">
        <v>31588680</v>
      </c>
      <c r="N96" s="30"/>
      <c r="O96" s="24">
        <v>1354368</v>
      </c>
      <c r="P96" s="30"/>
      <c r="Q96" s="24">
        <v>0</v>
      </c>
      <c r="R96" s="30"/>
      <c r="S96" s="24">
        <f>19020+106160</f>
        <v>125180</v>
      </c>
      <c r="T96" s="30"/>
      <c r="U96" s="24">
        <v>1752558</v>
      </c>
      <c r="V96" s="30"/>
      <c r="W96" s="24">
        <v>0</v>
      </c>
      <c r="X96" s="30"/>
      <c r="Y96" s="24">
        <v>796786</v>
      </c>
      <c r="Z96" s="30"/>
      <c r="AA96" s="24">
        <v>251982</v>
      </c>
      <c r="AB96" s="30"/>
      <c r="AC96" s="30">
        <f t="shared" si="8"/>
        <v>65962287</v>
      </c>
      <c r="AD96" s="30"/>
      <c r="AE96" s="103">
        <f t="shared" si="9"/>
        <v>63160961</v>
      </c>
      <c r="AF96" s="33"/>
      <c r="AG96" s="24">
        <f>7960319+1670683</f>
        <v>9631002</v>
      </c>
      <c r="AH96" s="34"/>
      <c r="AI96" s="24">
        <v>37518477</v>
      </c>
      <c r="AJ96" s="34"/>
      <c r="AK96" s="24">
        <v>-4731</v>
      </c>
      <c r="AL96" s="34"/>
      <c r="AM96" s="34">
        <f>+'Gov Fd Rv'!Q96+'Gov Fd Rv'!S96-'Gov Fnd Exp'!AC96-AG96+AI96-'Gov Fd BS'!U96+AK96</f>
        <v>0</v>
      </c>
    </row>
    <row r="97" spans="1:39" ht="12.75" customHeight="1" hidden="1">
      <c r="A97" s="32" t="s">
        <v>173</v>
      </c>
      <c r="B97" s="32"/>
      <c r="C97" s="24"/>
      <c r="D97" s="30"/>
      <c r="E97" s="24"/>
      <c r="F97" s="30"/>
      <c r="G97" s="24"/>
      <c r="H97" s="30"/>
      <c r="I97" s="24"/>
      <c r="J97" s="30"/>
      <c r="K97" s="24"/>
      <c r="L97" s="30"/>
      <c r="M97" s="24"/>
      <c r="N97" s="30"/>
      <c r="O97" s="24"/>
      <c r="P97" s="30"/>
      <c r="Q97" s="24"/>
      <c r="R97" s="30"/>
      <c r="S97" s="24"/>
      <c r="T97" s="30"/>
      <c r="U97" s="24"/>
      <c r="V97" s="30"/>
      <c r="W97" s="24"/>
      <c r="X97" s="30"/>
      <c r="Y97" s="24"/>
      <c r="Z97" s="30"/>
      <c r="AA97" s="24"/>
      <c r="AB97" s="30"/>
      <c r="AC97" s="30">
        <f t="shared" si="8"/>
        <v>0</v>
      </c>
      <c r="AD97" s="30"/>
      <c r="AE97" s="103">
        <f t="shared" si="9"/>
        <v>0</v>
      </c>
      <c r="AF97" s="33"/>
      <c r="AG97" s="24"/>
      <c r="AH97" s="34"/>
      <c r="AI97" s="24"/>
      <c r="AJ97" s="34"/>
      <c r="AK97" s="24"/>
      <c r="AL97" s="34"/>
      <c r="AM97" s="34">
        <f>+'Gov Fd Rv'!Q97+'Gov Fd Rv'!S97-'Gov Fnd Exp'!AC97-AG97+AI97-'Gov Fd BS'!U97+AK97</f>
        <v>0</v>
      </c>
    </row>
    <row r="98" spans="1:39" ht="12.75" customHeight="1">
      <c r="A98" s="32" t="s">
        <v>83</v>
      </c>
      <c r="B98" s="32"/>
      <c r="C98" s="24">
        <v>17180532</v>
      </c>
      <c r="D98" s="30"/>
      <c r="E98" s="24">
        <v>8584152</v>
      </c>
      <c r="F98" s="30"/>
      <c r="G98" s="24">
        <v>8246039</v>
      </c>
      <c r="H98" s="30"/>
      <c r="I98" s="24">
        <v>8106562</v>
      </c>
      <c r="J98" s="30"/>
      <c r="K98" s="24">
        <v>14021344</v>
      </c>
      <c r="L98" s="30"/>
      <c r="M98" s="24">
        <v>41454753</v>
      </c>
      <c r="N98" s="30"/>
      <c r="O98" s="24">
        <v>1081278</v>
      </c>
      <c r="P98" s="30"/>
      <c r="Q98" s="24">
        <v>292725</v>
      </c>
      <c r="R98" s="30"/>
      <c r="S98" s="24">
        <v>489830</v>
      </c>
      <c r="T98" s="30"/>
      <c r="U98" s="24">
        <v>1807739</v>
      </c>
      <c r="V98" s="30"/>
      <c r="W98" s="24">
        <v>399357</v>
      </c>
      <c r="X98" s="30"/>
      <c r="Y98" s="24">
        <v>742997</v>
      </c>
      <c r="Z98" s="30"/>
      <c r="AA98" s="24">
        <v>320043</v>
      </c>
      <c r="AB98" s="30"/>
      <c r="AC98" s="30">
        <f t="shared" si="8"/>
        <v>102727351</v>
      </c>
      <c r="AD98" s="30"/>
      <c r="AE98" s="103">
        <f t="shared" si="9"/>
        <v>99457215</v>
      </c>
      <c r="AF98" s="33"/>
      <c r="AG98" s="24">
        <v>3317564</v>
      </c>
      <c r="AH98" s="34"/>
      <c r="AI98" s="24">
        <v>76906166</v>
      </c>
      <c r="AJ98" s="34"/>
      <c r="AK98" s="24"/>
      <c r="AL98" s="34"/>
      <c r="AM98" s="34">
        <f>+'Gov Fd Rv'!Q98+'Gov Fd Rv'!S98-'Gov Fnd Exp'!AC98-AG98+AI98-'Gov Fd BS'!U98+AK98</f>
        <v>0</v>
      </c>
    </row>
    <row r="99" spans="1:39" ht="12.75" customHeight="1" hidden="1">
      <c r="A99" s="32" t="s">
        <v>174</v>
      </c>
      <c r="B99" s="32"/>
      <c r="C99" s="40">
        <v>0</v>
      </c>
      <c r="D99" s="40"/>
      <c r="E99" s="24">
        <v>0</v>
      </c>
      <c r="F99" s="30"/>
      <c r="G99" s="24">
        <v>0</v>
      </c>
      <c r="H99" s="30"/>
      <c r="I99" s="24">
        <v>0</v>
      </c>
      <c r="J99" s="30"/>
      <c r="K99" s="24">
        <v>0</v>
      </c>
      <c r="L99" s="30"/>
      <c r="M99" s="24">
        <v>0</v>
      </c>
      <c r="N99" s="30"/>
      <c r="O99" s="24">
        <v>0</v>
      </c>
      <c r="P99" s="30"/>
      <c r="Q99" s="24">
        <v>0</v>
      </c>
      <c r="R99" s="30"/>
      <c r="S99" s="24">
        <v>0</v>
      </c>
      <c r="T99" s="30"/>
      <c r="U99" s="24">
        <v>0</v>
      </c>
      <c r="V99" s="30"/>
      <c r="W99" s="24">
        <v>0</v>
      </c>
      <c r="X99" s="30"/>
      <c r="Y99" s="24">
        <v>0</v>
      </c>
      <c r="Z99" s="30"/>
      <c r="AA99" s="24">
        <v>0</v>
      </c>
      <c r="AB99" s="30"/>
      <c r="AC99" s="30">
        <f t="shared" si="8"/>
        <v>0</v>
      </c>
      <c r="AD99" s="30"/>
      <c r="AE99" s="103">
        <f t="shared" si="9"/>
        <v>0</v>
      </c>
      <c r="AF99" s="24"/>
      <c r="AG99" s="24">
        <v>0</v>
      </c>
      <c r="AH99" s="34"/>
      <c r="AI99" s="24">
        <v>0</v>
      </c>
      <c r="AJ99" s="34"/>
      <c r="AK99" s="24">
        <v>0</v>
      </c>
      <c r="AL99" s="34"/>
      <c r="AM99" s="34">
        <f>+'Gov Fd Rv'!Q99+'Gov Fd Rv'!S99-'Gov Fnd Exp'!AC99-AG99+'Gov Fd Rv'!U99+AI99+AK99-'Gov Fd BS'!U99</f>
        <v>0</v>
      </c>
    </row>
    <row r="100" spans="1:39" ht="12.75" customHeight="1">
      <c r="A100" s="32"/>
      <c r="B100" s="3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34"/>
      <c r="AI100" s="24"/>
      <c r="AJ100" s="34"/>
      <c r="AK100" s="24"/>
      <c r="AL100" s="34"/>
      <c r="AM100" s="34"/>
    </row>
    <row r="101" spans="1:39" ht="12.75" customHeight="1">
      <c r="A101" s="32"/>
      <c r="B101" s="32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34"/>
      <c r="AI101" s="24"/>
      <c r="AJ101" s="34"/>
      <c r="AK101" s="24"/>
      <c r="AL101" s="34"/>
      <c r="AM101" s="34"/>
    </row>
    <row r="102" spans="3:39" ht="12.75" customHeight="1"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39"/>
      <c r="AG102" s="102"/>
      <c r="AH102" s="34"/>
      <c r="AI102" s="102"/>
      <c r="AJ102" s="34"/>
      <c r="AK102" s="102"/>
      <c r="AL102" s="34"/>
      <c r="AM102" s="34"/>
    </row>
    <row r="103" spans="3:39" ht="12.75" customHeight="1"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39"/>
      <c r="AG103" s="102"/>
      <c r="AH103" s="34"/>
      <c r="AI103" s="102"/>
      <c r="AJ103" s="34"/>
      <c r="AK103" s="102"/>
      <c r="AL103" s="34"/>
      <c r="AM103" s="34"/>
    </row>
    <row r="104" spans="3:39" ht="12.75" customHeight="1"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39"/>
      <c r="AG104" s="102"/>
      <c r="AH104" s="34"/>
      <c r="AI104" s="102"/>
      <c r="AJ104" s="34"/>
      <c r="AK104" s="102"/>
      <c r="AL104" s="34"/>
      <c r="AM104" s="34"/>
    </row>
    <row r="105" spans="33:39" ht="12.75" customHeight="1">
      <c r="AG105" s="34"/>
      <c r="AH105" s="34"/>
      <c r="AI105" s="34"/>
      <c r="AJ105" s="34"/>
      <c r="AK105" s="34"/>
      <c r="AL105" s="34"/>
      <c r="AM105" s="34"/>
    </row>
    <row r="106" spans="33:39" ht="12.75" customHeight="1">
      <c r="AG106" s="99"/>
      <c r="AH106" s="34"/>
      <c r="AI106" s="34"/>
      <c r="AJ106" s="34"/>
      <c r="AK106" s="34"/>
      <c r="AL106" s="34"/>
      <c r="AM106" s="34"/>
    </row>
    <row r="107" spans="33:39" ht="12.75" customHeight="1">
      <c r="AG107" s="34"/>
      <c r="AH107" s="34"/>
      <c r="AI107" s="34"/>
      <c r="AJ107" s="34"/>
      <c r="AK107" s="34"/>
      <c r="AL107" s="34"/>
      <c r="AM107" s="34"/>
    </row>
    <row r="108" spans="33:39" ht="12.75" customHeight="1">
      <c r="AG108" s="34"/>
      <c r="AH108" s="34"/>
      <c r="AI108" s="34"/>
      <c r="AJ108" s="34"/>
      <c r="AK108" s="34"/>
      <c r="AL108" s="34"/>
      <c r="AM108" s="34"/>
    </row>
    <row r="109" spans="33:39" ht="12.75" customHeight="1">
      <c r="AG109" s="34"/>
      <c r="AH109" s="34"/>
      <c r="AI109" s="34"/>
      <c r="AJ109" s="34"/>
      <c r="AK109" s="34"/>
      <c r="AL109" s="34"/>
      <c r="AM109" s="34"/>
    </row>
    <row r="110" spans="33:39" ht="12.75" customHeight="1">
      <c r="AG110" s="34"/>
      <c r="AH110" s="34"/>
      <c r="AI110" s="34"/>
      <c r="AJ110" s="34"/>
      <c r="AK110" s="34"/>
      <c r="AL110" s="34"/>
      <c r="AM110" s="34"/>
    </row>
    <row r="111" spans="33:39" ht="12.75" customHeight="1">
      <c r="AG111" s="34"/>
      <c r="AH111" s="34"/>
      <c r="AI111" s="34"/>
      <c r="AJ111" s="34"/>
      <c r="AK111" s="34"/>
      <c r="AL111" s="34"/>
      <c r="AM111" s="34"/>
    </row>
    <row r="112" spans="1:39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G112" s="34"/>
      <c r="AH112" s="34"/>
      <c r="AI112" s="34"/>
      <c r="AJ112" s="34"/>
      <c r="AK112" s="34"/>
      <c r="AL112" s="34"/>
      <c r="AM112" s="34"/>
    </row>
    <row r="113" spans="1:39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G113" s="34"/>
      <c r="AH113" s="34"/>
      <c r="AI113" s="34"/>
      <c r="AJ113" s="34"/>
      <c r="AK113" s="34"/>
      <c r="AL113" s="34"/>
      <c r="AM113" s="34"/>
    </row>
    <row r="114" spans="1:39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G114" s="34"/>
      <c r="AH114" s="34"/>
      <c r="AI114" s="34"/>
      <c r="AJ114" s="34"/>
      <c r="AK114" s="34"/>
      <c r="AL114" s="34"/>
      <c r="AM114" s="34"/>
    </row>
    <row r="115" spans="1:39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G115" s="34"/>
      <c r="AH115" s="34"/>
      <c r="AI115" s="34"/>
      <c r="AJ115" s="34"/>
      <c r="AK115" s="34"/>
      <c r="AL115" s="34"/>
      <c r="AM115" s="34"/>
    </row>
    <row r="116" spans="1:39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G116" s="34"/>
      <c r="AH116" s="34"/>
      <c r="AI116" s="34"/>
      <c r="AJ116" s="34"/>
      <c r="AK116" s="34"/>
      <c r="AL116" s="34"/>
      <c r="AM116" s="34"/>
    </row>
    <row r="117" spans="1:39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G117" s="34"/>
      <c r="AH117" s="34"/>
      <c r="AI117" s="34"/>
      <c r="AJ117" s="34"/>
      <c r="AK117" s="34"/>
      <c r="AL117" s="34"/>
      <c r="AM117" s="34"/>
    </row>
    <row r="118" spans="1:39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G118" s="34"/>
      <c r="AH118" s="34"/>
      <c r="AI118" s="34"/>
      <c r="AJ118" s="34"/>
      <c r="AK118" s="34"/>
      <c r="AL118" s="34"/>
      <c r="AM118" s="34"/>
    </row>
    <row r="119" spans="1:39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G119" s="34"/>
      <c r="AH119" s="34"/>
      <c r="AI119" s="34"/>
      <c r="AJ119" s="34"/>
      <c r="AK119" s="34"/>
      <c r="AL119" s="34"/>
      <c r="AM119" s="34"/>
    </row>
    <row r="120" spans="1:39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G120" s="34"/>
      <c r="AH120" s="34"/>
      <c r="AI120" s="34"/>
      <c r="AJ120" s="34"/>
      <c r="AK120" s="34"/>
      <c r="AL120" s="34"/>
      <c r="AM120" s="34"/>
    </row>
    <row r="121" spans="1:39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G121" s="34"/>
      <c r="AH121" s="34"/>
      <c r="AI121" s="34"/>
      <c r="AJ121" s="34"/>
      <c r="AK121" s="34"/>
      <c r="AL121" s="34"/>
      <c r="AM121" s="34"/>
    </row>
    <row r="122" spans="1:39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G122" s="34"/>
      <c r="AH122" s="34"/>
      <c r="AI122" s="34"/>
      <c r="AJ122" s="34"/>
      <c r="AK122" s="34"/>
      <c r="AL122" s="34"/>
      <c r="AM122" s="34"/>
    </row>
    <row r="123" spans="1:39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G123" s="34"/>
      <c r="AH123" s="34"/>
      <c r="AI123" s="34"/>
      <c r="AJ123" s="34"/>
      <c r="AK123" s="34"/>
      <c r="AL123" s="34"/>
      <c r="AM123" s="34"/>
    </row>
    <row r="124" spans="1:39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G124" s="34"/>
      <c r="AH124" s="34"/>
      <c r="AI124" s="34"/>
      <c r="AJ124" s="34"/>
      <c r="AK124" s="34"/>
      <c r="AL124" s="34"/>
      <c r="AM124" s="34"/>
    </row>
    <row r="125" spans="1:39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G125" s="34"/>
      <c r="AH125" s="34"/>
      <c r="AI125" s="34"/>
      <c r="AJ125" s="34"/>
      <c r="AK125" s="34"/>
      <c r="AL125" s="34"/>
      <c r="AM125" s="34"/>
    </row>
    <row r="126" spans="1:39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G126" s="34"/>
      <c r="AH126" s="34"/>
      <c r="AI126" s="34"/>
      <c r="AJ126" s="34"/>
      <c r="AK126" s="34"/>
      <c r="AL126" s="34"/>
      <c r="AM126" s="34"/>
    </row>
    <row r="127" spans="1:39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G127" s="34"/>
      <c r="AH127" s="34"/>
      <c r="AI127" s="34"/>
      <c r="AJ127" s="34"/>
      <c r="AK127" s="34"/>
      <c r="AL127" s="34"/>
      <c r="AM127" s="34"/>
    </row>
    <row r="128" spans="1:39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G128" s="34"/>
      <c r="AH128" s="34"/>
      <c r="AI128" s="34"/>
      <c r="AJ128" s="34"/>
      <c r="AK128" s="34"/>
      <c r="AL128" s="34"/>
      <c r="AM128" s="34"/>
    </row>
    <row r="129" spans="1:39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G129" s="34"/>
      <c r="AH129" s="34"/>
      <c r="AI129" s="34"/>
      <c r="AJ129" s="34"/>
      <c r="AK129" s="34"/>
      <c r="AL129" s="34"/>
      <c r="AM129" s="34"/>
    </row>
    <row r="130" spans="1:39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G130" s="34"/>
      <c r="AH130" s="34"/>
      <c r="AI130" s="34"/>
      <c r="AJ130" s="34"/>
      <c r="AK130" s="34"/>
      <c r="AL130" s="34"/>
      <c r="AM130" s="34"/>
    </row>
    <row r="131" spans="1:39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G131" s="34"/>
      <c r="AH131" s="34"/>
      <c r="AI131" s="34"/>
      <c r="AJ131" s="34"/>
      <c r="AK131" s="34"/>
      <c r="AL131" s="34"/>
      <c r="AM131" s="34"/>
    </row>
    <row r="132" spans="1:39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G132" s="34"/>
      <c r="AH132" s="34"/>
      <c r="AI132" s="34"/>
      <c r="AJ132" s="34"/>
      <c r="AK132" s="34"/>
      <c r="AL132" s="34"/>
      <c r="AM132" s="34"/>
    </row>
    <row r="133" spans="1:39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G133" s="34"/>
      <c r="AH133" s="34"/>
      <c r="AI133" s="34"/>
      <c r="AJ133" s="34"/>
      <c r="AK133" s="34"/>
      <c r="AL133" s="34"/>
      <c r="AM133" s="34"/>
    </row>
    <row r="134" spans="1:39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G134" s="34"/>
      <c r="AH134" s="34"/>
      <c r="AI134" s="34"/>
      <c r="AJ134" s="34"/>
      <c r="AK134" s="34"/>
      <c r="AL134" s="34"/>
      <c r="AM134" s="34"/>
    </row>
    <row r="135" spans="1:39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G135" s="34"/>
      <c r="AH135" s="34"/>
      <c r="AI135" s="34"/>
      <c r="AJ135" s="34"/>
      <c r="AK135" s="34"/>
      <c r="AL135" s="34"/>
      <c r="AM135" s="34"/>
    </row>
    <row r="136" spans="1:39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G136" s="34"/>
      <c r="AH136" s="34"/>
      <c r="AI136" s="34"/>
      <c r="AJ136" s="34"/>
      <c r="AK136" s="34"/>
      <c r="AL136" s="34"/>
      <c r="AM136" s="34"/>
    </row>
    <row r="137" spans="1:39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G137" s="34"/>
      <c r="AH137" s="34"/>
      <c r="AI137" s="34"/>
      <c r="AJ137" s="34"/>
      <c r="AK137" s="34"/>
      <c r="AL137" s="34"/>
      <c r="AM137" s="34"/>
    </row>
    <row r="138" spans="1:39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G138" s="34"/>
      <c r="AH138" s="34"/>
      <c r="AI138" s="34"/>
      <c r="AJ138" s="34"/>
      <c r="AK138" s="34"/>
      <c r="AL138" s="34"/>
      <c r="AM138" s="34"/>
    </row>
    <row r="139" spans="1:39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G139" s="34"/>
      <c r="AH139" s="34"/>
      <c r="AI139" s="34"/>
      <c r="AJ139" s="34"/>
      <c r="AK139" s="34"/>
      <c r="AL139" s="34"/>
      <c r="AM139" s="34"/>
    </row>
    <row r="140" spans="1:39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G140" s="34"/>
      <c r="AH140" s="34"/>
      <c r="AI140" s="34"/>
      <c r="AJ140" s="34"/>
      <c r="AK140" s="34"/>
      <c r="AL140" s="34"/>
      <c r="AM140" s="34"/>
    </row>
    <row r="141" spans="1:39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G141" s="34"/>
      <c r="AH141" s="34"/>
      <c r="AI141" s="34"/>
      <c r="AJ141" s="34"/>
      <c r="AK141" s="34"/>
      <c r="AL141" s="34"/>
      <c r="AM141" s="34"/>
    </row>
    <row r="142" spans="1:39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G142" s="34"/>
      <c r="AH142" s="34"/>
      <c r="AI142" s="34"/>
      <c r="AJ142" s="34"/>
      <c r="AK142" s="34"/>
      <c r="AL142" s="34"/>
      <c r="AM142" s="34"/>
    </row>
    <row r="143" spans="1:39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G143" s="34"/>
      <c r="AH143" s="34"/>
      <c r="AI143" s="34"/>
      <c r="AJ143" s="34"/>
      <c r="AK143" s="34"/>
      <c r="AL143" s="34"/>
      <c r="AM143" s="34"/>
    </row>
    <row r="144" spans="1:39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G144" s="34"/>
      <c r="AH144" s="34"/>
      <c r="AI144" s="34"/>
      <c r="AJ144" s="34"/>
      <c r="AK144" s="34"/>
      <c r="AL144" s="34"/>
      <c r="AM144" s="34"/>
    </row>
    <row r="145" spans="1:39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G145" s="34"/>
      <c r="AH145" s="34"/>
      <c r="AI145" s="34"/>
      <c r="AJ145" s="34"/>
      <c r="AK145" s="34"/>
      <c r="AL145" s="34"/>
      <c r="AM145" s="34"/>
    </row>
    <row r="146" spans="1:39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G146" s="34"/>
      <c r="AH146" s="34"/>
      <c r="AI146" s="34"/>
      <c r="AJ146" s="34"/>
      <c r="AK146" s="34"/>
      <c r="AL146" s="34"/>
      <c r="AM146" s="34"/>
    </row>
    <row r="147" spans="1:39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G147" s="34"/>
      <c r="AH147" s="34"/>
      <c r="AI147" s="34"/>
      <c r="AJ147" s="34"/>
      <c r="AK147" s="34"/>
      <c r="AL147" s="34"/>
      <c r="AM147" s="34"/>
    </row>
    <row r="148" spans="1:39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G148" s="34"/>
      <c r="AH148" s="34"/>
      <c r="AI148" s="34"/>
      <c r="AJ148" s="34"/>
      <c r="AK148" s="34"/>
      <c r="AL148" s="34"/>
      <c r="AM148" s="34"/>
    </row>
    <row r="149" spans="1:39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G149" s="34"/>
      <c r="AH149" s="34"/>
      <c r="AI149" s="34"/>
      <c r="AJ149" s="34"/>
      <c r="AK149" s="34"/>
      <c r="AL149" s="34"/>
      <c r="AM149" s="34"/>
    </row>
    <row r="150" spans="1:39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G150" s="34"/>
      <c r="AH150" s="34"/>
      <c r="AI150" s="34"/>
      <c r="AJ150" s="34"/>
      <c r="AK150" s="34"/>
      <c r="AL150" s="34"/>
      <c r="AM150" s="34"/>
    </row>
    <row r="151" spans="1:39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G151" s="34"/>
      <c r="AH151" s="34"/>
      <c r="AI151" s="34"/>
      <c r="AJ151" s="34"/>
      <c r="AK151" s="34"/>
      <c r="AL151" s="34"/>
      <c r="AM151" s="34"/>
    </row>
    <row r="152" spans="1:39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G152" s="34"/>
      <c r="AH152" s="34"/>
      <c r="AI152" s="34"/>
      <c r="AJ152" s="34"/>
      <c r="AK152" s="34"/>
      <c r="AL152" s="34"/>
      <c r="AM152" s="34"/>
    </row>
    <row r="153" spans="1:39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G153" s="34"/>
      <c r="AH153" s="34"/>
      <c r="AI153" s="34"/>
      <c r="AJ153" s="34"/>
      <c r="AK153" s="34"/>
      <c r="AL153" s="34"/>
      <c r="AM153" s="34"/>
    </row>
    <row r="154" spans="1:39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G154" s="34"/>
      <c r="AH154" s="34"/>
      <c r="AI154" s="34"/>
      <c r="AJ154" s="34"/>
      <c r="AK154" s="34"/>
      <c r="AL154" s="34"/>
      <c r="AM154" s="34"/>
    </row>
    <row r="155" spans="1:39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G155" s="34"/>
      <c r="AH155" s="34"/>
      <c r="AI155" s="34"/>
      <c r="AJ155" s="34"/>
      <c r="AK155" s="34"/>
      <c r="AL155" s="34"/>
      <c r="AM155" s="34"/>
    </row>
    <row r="156" spans="1:39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G156" s="34"/>
      <c r="AH156" s="34"/>
      <c r="AI156" s="34"/>
      <c r="AJ156" s="34"/>
      <c r="AK156" s="34"/>
      <c r="AL156" s="34"/>
      <c r="AM156" s="34"/>
    </row>
    <row r="157" spans="1:39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G157" s="34"/>
      <c r="AH157" s="34"/>
      <c r="AI157" s="34"/>
      <c r="AJ157" s="34"/>
      <c r="AK157" s="34"/>
      <c r="AL157" s="34"/>
      <c r="AM157" s="34"/>
    </row>
    <row r="158" spans="1:39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G158" s="34"/>
      <c r="AH158" s="34"/>
      <c r="AI158" s="34"/>
      <c r="AJ158" s="34"/>
      <c r="AK158" s="34"/>
      <c r="AL158" s="34"/>
      <c r="AM158" s="34"/>
    </row>
    <row r="159" spans="1:39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G159" s="34"/>
      <c r="AH159" s="34"/>
      <c r="AI159" s="34"/>
      <c r="AJ159" s="34"/>
      <c r="AK159" s="34"/>
      <c r="AL159" s="34"/>
      <c r="AM159" s="34"/>
    </row>
    <row r="160" spans="1:39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G160" s="34"/>
      <c r="AH160" s="34"/>
      <c r="AI160" s="34"/>
      <c r="AJ160" s="34"/>
      <c r="AK160" s="34"/>
      <c r="AL160" s="34"/>
      <c r="AM160" s="34"/>
    </row>
    <row r="161" spans="1:39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G161" s="34"/>
      <c r="AH161" s="34"/>
      <c r="AI161" s="34"/>
      <c r="AJ161" s="34"/>
      <c r="AK161" s="34"/>
      <c r="AL161" s="34"/>
      <c r="AM161" s="34"/>
    </row>
    <row r="162" spans="1:39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G162" s="34"/>
      <c r="AH162" s="34"/>
      <c r="AI162" s="34"/>
      <c r="AJ162" s="34"/>
      <c r="AK162" s="34"/>
      <c r="AL162" s="34"/>
      <c r="AM162" s="34"/>
    </row>
    <row r="163" spans="1:39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G163" s="34"/>
      <c r="AH163" s="34"/>
      <c r="AI163" s="34"/>
      <c r="AJ163" s="34"/>
      <c r="AK163" s="34"/>
      <c r="AL163" s="34"/>
      <c r="AM163" s="34"/>
    </row>
    <row r="164" spans="1:39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G164" s="34"/>
      <c r="AH164" s="34"/>
      <c r="AI164" s="34"/>
      <c r="AJ164" s="34"/>
      <c r="AK164" s="34"/>
      <c r="AL164" s="34"/>
      <c r="AM164" s="34"/>
    </row>
    <row r="165" spans="1:39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G165" s="34"/>
      <c r="AH165" s="34"/>
      <c r="AI165" s="34"/>
      <c r="AJ165" s="34"/>
      <c r="AK165" s="34"/>
      <c r="AL165" s="34"/>
      <c r="AM165" s="34"/>
    </row>
    <row r="166" spans="1:39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G166" s="34"/>
      <c r="AH166" s="34"/>
      <c r="AI166" s="34"/>
      <c r="AJ166" s="34"/>
      <c r="AK166" s="34"/>
      <c r="AL166" s="34"/>
      <c r="AM166" s="34"/>
    </row>
    <row r="167" spans="1:39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G167" s="34"/>
      <c r="AH167" s="34"/>
      <c r="AI167" s="34"/>
      <c r="AJ167" s="34"/>
      <c r="AK167" s="34"/>
      <c r="AL167" s="34"/>
      <c r="AM167" s="34"/>
    </row>
    <row r="168" spans="1:39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G168" s="34"/>
      <c r="AH168" s="34"/>
      <c r="AI168" s="34"/>
      <c r="AJ168" s="34"/>
      <c r="AK168" s="34"/>
      <c r="AL168" s="34"/>
      <c r="AM168" s="34"/>
    </row>
    <row r="169" spans="1:39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G169" s="34"/>
      <c r="AH169" s="34"/>
      <c r="AI169" s="34"/>
      <c r="AJ169" s="34"/>
      <c r="AK169" s="34"/>
      <c r="AL169" s="34"/>
      <c r="AM169" s="34"/>
    </row>
    <row r="170" spans="1:39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G170" s="34"/>
      <c r="AH170" s="34"/>
      <c r="AI170" s="34"/>
      <c r="AJ170" s="34"/>
      <c r="AK170" s="34"/>
      <c r="AL170" s="34"/>
      <c r="AM170" s="34"/>
    </row>
    <row r="171" spans="1:39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G171" s="34"/>
      <c r="AH171" s="34"/>
      <c r="AI171" s="34"/>
      <c r="AJ171" s="34"/>
      <c r="AK171" s="34"/>
      <c r="AL171" s="34"/>
      <c r="AM171" s="34"/>
    </row>
    <row r="172" spans="1:39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G172" s="34"/>
      <c r="AH172" s="34"/>
      <c r="AI172" s="34"/>
      <c r="AJ172" s="34"/>
      <c r="AK172" s="34"/>
      <c r="AL172" s="34"/>
      <c r="AM172" s="34"/>
    </row>
    <row r="173" spans="1:39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G173" s="34"/>
      <c r="AH173" s="34"/>
      <c r="AI173" s="34"/>
      <c r="AJ173" s="34"/>
      <c r="AK173" s="34"/>
      <c r="AL173" s="34"/>
      <c r="AM173" s="34"/>
    </row>
    <row r="174" spans="1:39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G174" s="34"/>
      <c r="AH174" s="34"/>
      <c r="AI174" s="34"/>
      <c r="AJ174" s="34"/>
      <c r="AK174" s="34"/>
      <c r="AL174" s="34"/>
      <c r="AM174" s="34"/>
    </row>
    <row r="175" spans="1:39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G175" s="34"/>
      <c r="AH175" s="34"/>
      <c r="AI175" s="34"/>
      <c r="AJ175" s="34"/>
      <c r="AK175" s="34"/>
      <c r="AL175" s="34"/>
      <c r="AM175" s="34"/>
    </row>
    <row r="176" spans="1:39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G176" s="34"/>
      <c r="AH176" s="34"/>
      <c r="AI176" s="34"/>
      <c r="AJ176" s="34"/>
      <c r="AK176" s="34"/>
      <c r="AL176" s="34"/>
      <c r="AM176" s="34"/>
    </row>
    <row r="177" spans="1:39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G177" s="34"/>
      <c r="AH177" s="34"/>
      <c r="AI177" s="34"/>
      <c r="AJ177" s="34"/>
      <c r="AK177" s="34"/>
      <c r="AL177" s="34"/>
      <c r="AM177" s="34"/>
    </row>
    <row r="178" spans="1:39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G178" s="34"/>
      <c r="AH178" s="34"/>
      <c r="AI178" s="34"/>
      <c r="AJ178" s="34"/>
      <c r="AK178" s="34"/>
      <c r="AL178" s="34"/>
      <c r="AM178" s="34"/>
    </row>
    <row r="179" spans="1:39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G179" s="34"/>
      <c r="AH179" s="34"/>
      <c r="AI179" s="34"/>
      <c r="AJ179" s="34"/>
      <c r="AK179" s="34"/>
      <c r="AL179" s="34"/>
      <c r="AM179" s="34"/>
    </row>
    <row r="180" spans="1:39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G180" s="34"/>
      <c r="AH180" s="34"/>
      <c r="AI180" s="34"/>
      <c r="AJ180" s="34"/>
      <c r="AK180" s="34"/>
      <c r="AL180" s="34"/>
      <c r="AM180" s="34"/>
    </row>
    <row r="181" spans="1:39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G181" s="34"/>
      <c r="AH181" s="34"/>
      <c r="AI181" s="34"/>
      <c r="AJ181" s="34"/>
      <c r="AK181" s="34"/>
      <c r="AL181" s="34"/>
      <c r="AM181" s="34"/>
    </row>
    <row r="182" spans="1:39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G182" s="34"/>
      <c r="AH182" s="34"/>
      <c r="AI182" s="34"/>
      <c r="AJ182" s="34"/>
      <c r="AK182" s="34"/>
      <c r="AL182" s="34"/>
      <c r="AM182" s="34"/>
    </row>
    <row r="183" spans="1:39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G183" s="34"/>
      <c r="AH183" s="34"/>
      <c r="AI183" s="34"/>
      <c r="AJ183" s="34"/>
      <c r="AK183" s="34"/>
      <c r="AL183" s="34"/>
      <c r="AM183" s="34"/>
    </row>
    <row r="184" spans="1:39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G184" s="34"/>
      <c r="AH184" s="34"/>
      <c r="AI184" s="34"/>
      <c r="AJ184" s="34"/>
      <c r="AK184" s="34"/>
      <c r="AL184" s="34"/>
      <c r="AM184" s="34"/>
    </row>
    <row r="185" spans="1:39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G185" s="34"/>
      <c r="AH185" s="34"/>
      <c r="AI185" s="34"/>
      <c r="AJ185" s="34"/>
      <c r="AK185" s="34"/>
      <c r="AL185" s="34"/>
      <c r="AM185" s="34"/>
    </row>
    <row r="186" spans="1:39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G186" s="34"/>
      <c r="AH186" s="34"/>
      <c r="AI186" s="34"/>
      <c r="AJ186" s="34"/>
      <c r="AK186" s="34"/>
      <c r="AL186" s="34"/>
      <c r="AM186" s="34"/>
    </row>
    <row r="187" spans="1:39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G187" s="34"/>
      <c r="AH187" s="34"/>
      <c r="AI187" s="34"/>
      <c r="AJ187" s="34"/>
      <c r="AK187" s="34"/>
      <c r="AL187" s="34"/>
      <c r="AM187" s="34"/>
    </row>
    <row r="188" spans="1:39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G188" s="34"/>
      <c r="AH188" s="34"/>
      <c r="AI188" s="34"/>
      <c r="AJ188" s="34"/>
      <c r="AK188" s="34"/>
      <c r="AL188" s="34"/>
      <c r="AM188" s="34"/>
    </row>
    <row r="189" spans="1:39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G189" s="34"/>
      <c r="AH189" s="34"/>
      <c r="AI189" s="34"/>
      <c r="AJ189" s="34"/>
      <c r="AK189" s="34"/>
      <c r="AL189" s="34"/>
      <c r="AM189" s="34"/>
    </row>
    <row r="190" spans="1:39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G190" s="34"/>
      <c r="AH190" s="34"/>
      <c r="AI190" s="34"/>
      <c r="AJ190" s="34"/>
      <c r="AK190" s="34"/>
      <c r="AL190" s="34"/>
      <c r="AM190" s="34"/>
    </row>
    <row r="191" spans="1:39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G191" s="34"/>
      <c r="AH191" s="34"/>
      <c r="AI191" s="34"/>
      <c r="AJ191" s="34"/>
      <c r="AK191" s="34"/>
      <c r="AL191" s="34"/>
      <c r="AM191" s="34"/>
    </row>
    <row r="192" spans="1:39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G192" s="34"/>
      <c r="AH192" s="34"/>
      <c r="AI192" s="34"/>
      <c r="AJ192" s="34"/>
      <c r="AK192" s="34"/>
      <c r="AL192" s="34"/>
      <c r="AM192" s="34"/>
    </row>
    <row r="193" spans="1:39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G193" s="34"/>
      <c r="AH193" s="34"/>
      <c r="AI193" s="34"/>
      <c r="AJ193" s="34"/>
      <c r="AK193" s="34"/>
      <c r="AL193" s="34"/>
      <c r="AM193" s="34"/>
    </row>
    <row r="194" spans="1:39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G194" s="34"/>
      <c r="AH194" s="34"/>
      <c r="AI194" s="34"/>
      <c r="AJ194" s="34"/>
      <c r="AK194" s="34"/>
      <c r="AL194" s="34"/>
      <c r="AM194" s="34"/>
    </row>
    <row r="195" spans="1:39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G195" s="34"/>
      <c r="AH195" s="34"/>
      <c r="AI195" s="34"/>
      <c r="AJ195" s="34"/>
      <c r="AK195" s="34"/>
      <c r="AL195" s="34"/>
      <c r="AM195" s="34"/>
    </row>
    <row r="196" spans="1:39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G196" s="34"/>
      <c r="AH196" s="34"/>
      <c r="AI196" s="34"/>
      <c r="AJ196" s="34"/>
      <c r="AK196" s="34"/>
      <c r="AL196" s="34"/>
      <c r="AM196" s="34"/>
    </row>
    <row r="197" spans="1:39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G197" s="34"/>
      <c r="AH197" s="34"/>
      <c r="AI197" s="34"/>
      <c r="AJ197" s="34"/>
      <c r="AK197" s="34"/>
      <c r="AL197" s="34"/>
      <c r="AM197" s="34"/>
    </row>
    <row r="198" spans="1:39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G198" s="34"/>
      <c r="AH198" s="34"/>
      <c r="AI198" s="34"/>
      <c r="AJ198" s="34"/>
      <c r="AK198" s="34"/>
      <c r="AL198" s="34"/>
      <c r="AM198" s="34"/>
    </row>
    <row r="199" spans="1:39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G199" s="34"/>
      <c r="AH199" s="34"/>
      <c r="AI199" s="34"/>
      <c r="AJ199" s="34"/>
      <c r="AK199" s="34"/>
      <c r="AL199" s="34"/>
      <c r="AM199" s="34"/>
    </row>
    <row r="200" spans="1:39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G200" s="34"/>
      <c r="AH200" s="34"/>
      <c r="AI200" s="34"/>
      <c r="AJ200" s="34"/>
      <c r="AK200" s="34"/>
      <c r="AL200" s="34"/>
      <c r="AM200" s="34"/>
    </row>
    <row r="201" spans="1:39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G201" s="34"/>
      <c r="AH201" s="34"/>
      <c r="AI201" s="34"/>
      <c r="AJ201" s="34"/>
      <c r="AK201" s="34"/>
      <c r="AL201" s="34"/>
      <c r="AM201" s="34"/>
    </row>
    <row r="202" spans="1:39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G202" s="34"/>
      <c r="AH202" s="34"/>
      <c r="AI202" s="34"/>
      <c r="AJ202" s="34"/>
      <c r="AK202" s="34"/>
      <c r="AL202" s="34"/>
      <c r="AM202" s="34"/>
    </row>
    <row r="203" spans="1:39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G203" s="34"/>
      <c r="AH203" s="34"/>
      <c r="AI203" s="34"/>
      <c r="AJ203" s="34"/>
      <c r="AK203" s="34"/>
      <c r="AL203" s="34"/>
      <c r="AM203" s="34"/>
    </row>
    <row r="204" spans="1:39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G204" s="34"/>
      <c r="AH204" s="34"/>
      <c r="AI204" s="34"/>
      <c r="AJ204" s="34"/>
      <c r="AK204" s="34"/>
      <c r="AL204" s="34"/>
      <c r="AM204" s="34"/>
    </row>
    <row r="205" spans="1:39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G205" s="34"/>
      <c r="AH205" s="34"/>
      <c r="AI205" s="34"/>
      <c r="AJ205" s="34"/>
      <c r="AK205" s="34"/>
      <c r="AL205" s="34"/>
      <c r="AM205" s="34"/>
    </row>
    <row r="206" spans="1:39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G206" s="34"/>
      <c r="AH206" s="34"/>
      <c r="AI206" s="34"/>
      <c r="AJ206" s="34"/>
      <c r="AK206" s="34"/>
      <c r="AL206" s="34"/>
      <c r="AM206" s="34"/>
    </row>
    <row r="207" spans="1:39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G207" s="34"/>
      <c r="AH207" s="34"/>
      <c r="AI207" s="34"/>
      <c r="AJ207" s="34"/>
      <c r="AK207" s="34"/>
      <c r="AL207" s="34"/>
      <c r="AM207" s="34"/>
    </row>
    <row r="208" spans="1:39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G208" s="34"/>
      <c r="AH208" s="34"/>
      <c r="AI208" s="34"/>
      <c r="AJ208" s="34"/>
      <c r="AK208" s="34"/>
      <c r="AL208" s="34"/>
      <c r="AM208" s="34"/>
    </row>
    <row r="209" spans="1:39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G209" s="34"/>
      <c r="AH209" s="34"/>
      <c r="AI209" s="34"/>
      <c r="AJ209" s="34"/>
      <c r="AK209" s="34"/>
      <c r="AL209" s="34"/>
      <c r="AM209" s="34"/>
    </row>
    <row r="210" spans="1:39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G210" s="34"/>
      <c r="AH210" s="34"/>
      <c r="AI210" s="34"/>
      <c r="AJ210" s="34"/>
      <c r="AK210" s="34"/>
      <c r="AL210" s="34"/>
      <c r="AM210" s="34"/>
    </row>
    <row r="211" spans="1:39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G211" s="34"/>
      <c r="AH211" s="34"/>
      <c r="AI211" s="34"/>
      <c r="AJ211" s="34"/>
      <c r="AK211" s="34"/>
      <c r="AL211" s="34"/>
      <c r="AM211" s="34"/>
    </row>
    <row r="212" spans="1:39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G212" s="34"/>
      <c r="AH212" s="34"/>
      <c r="AI212" s="34"/>
      <c r="AJ212" s="34"/>
      <c r="AK212" s="34"/>
      <c r="AL212" s="34"/>
      <c r="AM212" s="34"/>
    </row>
    <row r="213" spans="1:39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G213" s="34"/>
      <c r="AH213" s="34"/>
      <c r="AI213" s="34"/>
      <c r="AJ213" s="34"/>
      <c r="AK213" s="34"/>
      <c r="AL213" s="34"/>
      <c r="AM213" s="34"/>
    </row>
    <row r="214" spans="1:39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G214" s="34"/>
      <c r="AH214" s="34"/>
      <c r="AI214" s="34"/>
      <c r="AJ214" s="34"/>
      <c r="AK214" s="34"/>
      <c r="AL214" s="34"/>
      <c r="AM214" s="34"/>
    </row>
    <row r="215" spans="1:39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G215" s="34"/>
      <c r="AH215" s="34"/>
      <c r="AI215" s="34"/>
      <c r="AJ215" s="34"/>
      <c r="AK215" s="34"/>
      <c r="AL215" s="34"/>
      <c r="AM215" s="34"/>
    </row>
    <row r="216" spans="1:39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G216" s="34"/>
      <c r="AH216" s="34"/>
      <c r="AI216" s="34"/>
      <c r="AJ216" s="34"/>
      <c r="AK216" s="34"/>
      <c r="AL216" s="34"/>
      <c r="AM216" s="34"/>
    </row>
    <row r="217" spans="1:39" ht="12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G217" s="34"/>
      <c r="AH217" s="34"/>
      <c r="AI217" s="34"/>
      <c r="AJ217" s="34"/>
      <c r="AK217" s="34"/>
      <c r="AL217" s="34"/>
      <c r="AM217" s="34"/>
    </row>
    <row r="218" spans="1:39" ht="12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G218" s="34"/>
      <c r="AH218" s="34"/>
      <c r="AI218" s="34"/>
      <c r="AJ218" s="34"/>
      <c r="AK218" s="34"/>
      <c r="AL218" s="34"/>
      <c r="AM218" s="34"/>
    </row>
    <row r="219" spans="1:39" ht="12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G219" s="34"/>
      <c r="AH219" s="34"/>
      <c r="AI219" s="34"/>
      <c r="AJ219" s="34"/>
      <c r="AK219" s="34"/>
      <c r="AL219" s="34"/>
      <c r="AM219" s="34"/>
    </row>
    <row r="220" spans="1:39" ht="12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G220" s="34"/>
      <c r="AH220" s="34"/>
      <c r="AI220" s="34"/>
      <c r="AJ220" s="34"/>
      <c r="AK220" s="34"/>
      <c r="AL220" s="34"/>
      <c r="AM220" s="34"/>
    </row>
    <row r="221" spans="1:39" ht="12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G221" s="34"/>
      <c r="AH221" s="34"/>
      <c r="AI221" s="34"/>
      <c r="AJ221" s="34"/>
      <c r="AK221" s="34"/>
      <c r="AL221" s="34"/>
      <c r="AM221" s="34"/>
    </row>
    <row r="222" spans="1:39" ht="12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G222" s="34"/>
      <c r="AH222" s="34"/>
      <c r="AI222" s="34"/>
      <c r="AJ222" s="34"/>
      <c r="AK222" s="34"/>
      <c r="AL222" s="34"/>
      <c r="AM222" s="34"/>
    </row>
    <row r="223" spans="1:39" ht="12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G223" s="34"/>
      <c r="AH223" s="34"/>
      <c r="AI223" s="34"/>
      <c r="AJ223" s="34"/>
      <c r="AK223" s="34"/>
      <c r="AL223" s="34"/>
      <c r="AM223" s="34"/>
    </row>
    <row r="224" spans="1:39" ht="12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G224" s="34"/>
      <c r="AH224" s="34"/>
      <c r="AI224" s="34"/>
      <c r="AJ224" s="34"/>
      <c r="AK224" s="34"/>
      <c r="AL224" s="34"/>
      <c r="AM224" s="34"/>
    </row>
    <row r="225" spans="1:39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G225" s="34"/>
      <c r="AH225" s="34"/>
      <c r="AI225" s="34"/>
      <c r="AJ225" s="34"/>
      <c r="AK225" s="34"/>
      <c r="AL225" s="34"/>
      <c r="AM225" s="34"/>
    </row>
    <row r="226" spans="1:39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G226" s="34"/>
      <c r="AH226" s="34"/>
      <c r="AI226" s="34"/>
      <c r="AJ226" s="34"/>
      <c r="AK226" s="34"/>
      <c r="AL226" s="34"/>
      <c r="AM226" s="34"/>
    </row>
    <row r="227" spans="1:39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G227" s="34"/>
      <c r="AH227" s="34"/>
      <c r="AI227" s="34"/>
      <c r="AJ227" s="34"/>
      <c r="AK227" s="34"/>
      <c r="AL227" s="34"/>
      <c r="AM227" s="34"/>
    </row>
    <row r="228" spans="1:39" ht="12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G228" s="34"/>
      <c r="AH228" s="34"/>
      <c r="AI228" s="34"/>
      <c r="AJ228" s="34"/>
      <c r="AK228" s="34"/>
      <c r="AL228" s="34"/>
      <c r="AM228" s="34"/>
    </row>
    <row r="229" spans="1:39" ht="12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G229" s="34"/>
      <c r="AH229" s="34"/>
      <c r="AI229" s="34"/>
      <c r="AJ229" s="34"/>
      <c r="AK229" s="34"/>
      <c r="AL229" s="34"/>
      <c r="AM229" s="34"/>
    </row>
    <row r="230" spans="1:39" ht="12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G230" s="34"/>
      <c r="AH230" s="34"/>
      <c r="AI230" s="34"/>
      <c r="AJ230" s="34"/>
      <c r="AK230" s="34"/>
      <c r="AL230" s="34"/>
      <c r="AM230" s="34"/>
    </row>
    <row r="231" spans="1:39" ht="12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G231" s="34"/>
      <c r="AH231" s="34"/>
      <c r="AI231" s="34"/>
      <c r="AJ231" s="34"/>
      <c r="AK231" s="34"/>
      <c r="AL231" s="34"/>
      <c r="AM231" s="34"/>
    </row>
    <row r="232" spans="1:39" ht="12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G232" s="34"/>
      <c r="AH232" s="34"/>
      <c r="AI232" s="34"/>
      <c r="AJ232" s="34"/>
      <c r="AK232" s="34"/>
      <c r="AL232" s="34"/>
      <c r="AM232" s="34"/>
    </row>
    <row r="233" spans="1:39" ht="12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G233" s="34"/>
      <c r="AH233" s="34"/>
      <c r="AI233" s="34"/>
      <c r="AJ233" s="34"/>
      <c r="AK233" s="34"/>
      <c r="AL233" s="34"/>
      <c r="AM233" s="34"/>
    </row>
    <row r="234" spans="1:39" ht="12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G234" s="34"/>
      <c r="AH234" s="34"/>
      <c r="AI234" s="34"/>
      <c r="AJ234" s="34"/>
      <c r="AK234" s="34"/>
      <c r="AL234" s="34"/>
      <c r="AM234" s="34"/>
    </row>
    <row r="235" spans="1:39" ht="12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G235" s="34"/>
      <c r="AH235" s="34"/>
      <c r="AI235" s="34"/>
      <c r="AJ235" s="34"/>
      <c r="AK235" s="34"/>
      <c r="AL235" s="34"/>
      <c r="AM235" s="34"/>
    </row>
    <row r="236" spans="1:39" ht="12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G236" s="34"/>
      <c r="AH236" s="34"/>
      <c r="AI236" s="34"/>
      <c r="AJ236" s="34"/>
      <c r="AK236" s="34"/>
      <c r="AL236" s="34"/>
      <c r="AM236" s="34"/>
    </row>
    <row r="237" spans="1:39" ht="12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G237" s="34"/>
      <c r="AH237" s="34"/>
      <c r="AI237" s="34"/>
      <c r="AJ237" s="34"/>
      <c r="AK237" s="34"/>
      <c r="AL237" s="34"/>
      <c r="AM237" s="34"/>
    </row>
    <row r="238" spans="1:39" ht="12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G238" s="34"/>
      <c r="AH238" s="34"/>
      <c r="AI238" s="34"/>
      <c r="AJ238" s="34"/>
      <c r="AK238" s="34"/>
      <c r="AL238" s="34"/>
      <c r="AM238" s="34"/>
    </row>
    <row r="239" spans="1:39" ht="12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G239" s="34"/>
      <c r="AH239" s="34"/>
      <c r="AI239" s="34"/>
      <c r="AJ239" s="34"/>
      <c r="AK239" s="34"/>
      <c r="AL239" s="34"/>
      <c r="AM239" s="34"/>
    </row>
    <row r="240" spans="1:39" ht="12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G240" s="34"/>
      <c r="AH240" s="34"/>
      <c r="AI240" s="34"/>
      <c r="AJ240" s="34"/>
      <c r="AK240" s="34"/>
      <c r="AL240" s="34"/>
      <c r="AM240" s="34"/>
    </row>
    <row r="241" spans="1:39" ht="12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G241" s="34"/>
      <c r="AH241" s="34"/>
      <c r="AI241" s="34"/>
      <c r="AJ241" s="34"/>
      <c r="AK241" s="34"/>
      <c r="AL241" s="34"/>
      <c r="AM241" s="34"/>
    </row>
    <row r="242" spans="1:39" ht="12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G242" s="34"/>
      <c r="AH242" s="34"/>
      <c r="AI242" s="34"/>
      <c r="AJ242" s="34"/>
      <c r="AK242" s="34"/>
      <c r="AL242" s="34"/>
      <c r="AM242" s="34"/>
    </row>
    <row r="243" spans="1:39" ht="12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G243" s="34"/>
      <c r="AH243" s="34"/>
      <c r="AI243" s="34"/>
      <c r="AJ243" s="34"/>
      <c r="AK243" s="34"/>
      <c r="AL243" s="34"/>
      <c r="AM243" s="34"/>
    </row>
    <row r="244" spans="1:39" ht="12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G244" s="34"/>
      <c r="AH244" s="34"/>
      <c r="AI244" s="34"/>
      <c r="AJ244" s="34"/>
      <c r="AK244" s="34"/>
      <c r="AL244" s="34"/>
      <c r="AM244" s="34"/>
    </row>
    <row r="245" spans="1:39" ht="12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G245" s="34"/>
      <c r="AH245" s="34"/>
      <c r="AI245" s="34"/>
      <c r="AJ245" s="34"/>
      <c r="AK245" s="34"/>
      <c r="AL245" s="34"/>
      <c r="AM245" s="34"/>
    </row>
    <row r="246" spans="1:39" ht="12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G246" s="34"/>
      <c r="AH246" s="34"/>
      <c r="AI246" s="34"/>
      <c r="AJ246" s="34"/>
      <c r="AK246" s="34"/>
      <c r="AL246" s="34"/>
      <c r="AM246" s="34"/>
    </row>
    <row r="247" spans="1:39" ht="12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G247" s="34"/>
      <c r="AH247" s="34"/>
      <c r="AI247" s="34"/>
      <c r="AJ247" s="34"/>
      <c r="AK247" s="34"/>
      <c r="AL247" s="34"/>
      <c r="AM247" s="34"/>
    </row>
    <row r="248" spans="1:39" ht="12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G248" s="34"/>
      <c r="AH248" s="34"/>
      <c r="AI248" s="34"/>
      <c r="AJ248" s="34"/>
      <c r="AK248" s="34"/>
      <c r="AL248" s="34"/>
      <c r="AM248" s="34"/>
    </row>
    <row r="249" spans="1:39" ht="12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G249" s="34"/>
      <c r="AH249" s="34"/>
      <c r="AI249" s="34"/>
      <c r="AJ249" s="34"/>
      <c r="AK249" s="34"/>
      <c r="AL249" s="34"/>
      <c r="AM249" s="34"/>
    </row>
    <row r="250" spans="1:39" ht="12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G250" s="34"/>
      <c r="AH250" s="34"/>
      <c r="AI250" s="34"/>
      <c r="AJ250" s="34"/>
      <c r="AK250" s="34"/>
      <c r="AL250" s="34"/>
      <c r="AM250" s="34"/>
    </row>
    <row r="251" spans="1:39" ht="12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G251" s="34"/>
      <c r="AH251" s="34"/>
      <c r="AI251" s="34"/>
      <c r="AJ251" s="34"/>
      <c r="AK251" s="34"/>
      <c r="AL251" s="34"/>
      <c r="AM251" s="34"/>
    </row>
    <row r="252" spans="1:39" ht="12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G252" s="34"/>
      <c r="AH252" s="34"/>
      <c r="AI252" s="34"/>
      <c r="AJ252" s="34"/>
      <c r="AK252" s="34"/>
      <c r="AL252" s="34"/>
      <c r="AM252" s="34"/>
    </row>
    <row r="253" spans="1:39" ht="12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G253" s="34"/>
      <c r="AH253" s="34"/>
      <c r="AI253" s="34"/>
      <c r="AJ253" s="34"/>
      <c r="AK253" s="34"/>
      <c r="AL253" s="34"/>
      <c r="AM253" s="34"/>
    </row>
    <row r="254" spans="1:39" ht="12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G254" s="34"/>
      <c r="AH254" s="34"/>
      <c r="AI254" s="34"/>
      <c r="AJ254" s="34"/>
      <c r="AK254" s="34"/>
      <c r="AL254" s="34"/>
      <c r="AM254" s="34"/>
    </row>
    <row r="255" spans="1:39" ht="12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G255" s="34"/>
      <c r="AH255" s="34"/>
      <c r="AI255" s="34"/>
      <c r="AJ255" s="34"/>
      <c r="AK255" s="34"/>
      <c r="AL255" s="34"/>
      <c r="AM255" s="34"/>
    </row>
    <row r="256" spans="1:39" ht="12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G256" s="34"/>
      <c r="AH256" s="34"/>
      <c r="AI256" s="34"/>
      <c r="AJ256" s="34"/>
      <c r="AK256" s="34"/>
      <c r="AL256" s="34"/>
      <c r="AM256" s="34"/>
    </row>
    <row r="257" spans="1:39" ht="12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G257" s="34"/>
      <c r="AH257" s="34"/>
      <c r="AI257" s="34"/>
      <c r="AJ257" s="34"/>
      <c r="AK257" s="34"/>
      <c r="AL257" s="34"/>
      <c r="AM257" s="34"/>
    </row>
    <row r="258" spans="1:39" ht="12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G258" s="34"/>
      <c r="AH258" s="34"/>
      <c r="AI258" s="34"/>
      <c r="AJ258" s="34"/>
      <c r="AK258" s="34"/>
      <c r="AL258" s="34"/>
      <c r="AM258" s="34"/>
    </row>
    <row r="259" spans="1:39" ht="12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G259" s="34"/>
      <c r="AH259" s="34"/>
      <c r="AI259" s="34"/>
      <c r="AJ259" s="34"/>
      <c r="AK259" s="34"/>
      <c r="AL259" s="34"/>
      <c r="AM259" s="34"/>
    </row>
    <row r="260" spans="1:39" ht="12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G260" s="34"/>
      <c r="AH260" s="34"/>
      <c r="AI260" s="34"/>
      <c r="AJ260" s="34"/>
      <c r="AK260" s="34"/>
      <c r="AL260" s="34"/>
      <c r="AM260" s="34"/>
    </row>
    <row r="261" spans="1:39" ht="12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G261" s="34"/>
      <c r="AH261" s="34"/>
      <c r="AI261" s="34"/>
      <c r="AJ261" s="34"/>
      <c r="AK261" s="34"/>
      <c r="AL261" s="34"/>
      <c r="AM261" s="34"/>
    </row>
    <row r="262" spans="1:39" ht="12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G262" s="34"/>
      <c r="AH262" s="34"/>
      <c r="AI262" s="34"/>
      <c r="AJ262" s="34"/>
      <c r="AK262" s="34"/>
      <c r="AL262" s="34"/>
      <c r="AM262" s="34"/>
    </row>
    <row r="263" spans="1:39" ht="12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G263" s="34"/>
      <c r="AH263" s="34"/>
      <c r="AI263" s="34"/>
      <c r="AJ263" s="34"/>
      <c r="AK263" s="34"/>
      <c r="AL263" s="34"/>
      <c r="AM263" s="34"/>
    </row>
    <row r="264" spans="1:39" ht="12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G264" s="34"/>
      <c r="AH264" s="34"/>
      <c r="AI264" s="34"/>
      <c r="AJ264" s="34"/>
      <c r="AK264" s="34"/>
      <c r="AL264" s="34"/>
      <c r="AM264" s="34"/>
    </row>
    <row r="265" spans="1:39" ht="12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G265" s="34"/>
      <c r="AH265" s="34"/>
      <c r="AI265" s="34"/>
      <c r="AJ265" s="34"/>
      <c r="AK265" s="34"/>
      <c r="AL265" s="34"/>
      <c r="AM265" s="34"/>
    </row>
    <row r="266" spans="1:39" ht="12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G266" s="34"/>
      <c r="AH266" s="34"/>
      <c r="AI266" s="34"/>
      <c r="AJ266" s="34"/>
      <c r="AK266" s="34"/>
      <c r="AL266" s="34"/>
      <c r="AM266" s="34"/>
    </row>
    <row r="267" spans="1:39" ht="12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G267" s="34"/>
      <c r="AH267" s="34"/>
      <c r="AI267" s="34"/>
      <c r="AJ267" s="34"/>
      <c r="AK267" s="34"/>
      <c r="AL267" s="34"/>
      <c r="AM267" s="34"/>
    </row>
    <row r="268" spans="1:39" ht="12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G268" s="34"/>
      <c r="AH268" s="34"/>
      <c r="AI268" s="34"/>
      <c r="AJ268" s="34"/>
      <c r="AK268" s="34"/>
      <c r="AL268" s="34"/>
      <c r="AM268" s="34"/>
    </row>
    <row r="269" spans="1:39" ht="12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G269" s="34"/>
      <c r="AH269" s="34"/>
      <c r="AI269" s="34"/>
      <c r="AJ269" s="34"/>
      <c r="AK269" s="34"/>
      <c r="AL269" s="34"/>
      <c r="AM269" s="34"/>
    </row>
    <row r="270" spans="1:39" ht="12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G270" s="34"/>
      <c r="AH270" s="34"/>
      <c r="AI270" s="34"/>
      <c r="AJ270" s="34"/>
      <c r="AK270" s="34"/>
      <c r="AL270" s="34"/>
      <c r="AM270" s="34"/>
    </row>
    <row r="271" spans="1:39" ht="12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G271" s="34"/>
      <c r="AH271" s="34"/>
      <c r="AI271" s="34"/>
      <c r="AJ271" s="34"/>
      <c r="AK271" s="34"/>
      <c r="AL271" s="34"/>
      <c r="AM271" s="34"/>
    </row>
    <row r="272" spans="1:39" ht="12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G272" s="34"/>
      <c r="AH272" s="34"/>
      <c r="AI272" s="34"/>
      <c r="AJ272" s="34"/>
      <c r="AK272" s="34"/>
      <c r="AL272" s="34"/>
      <c r="AM272" s="34"/>
    </row>
    <row r="273" spans="1:39" ht="12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G273" s="34"/>
      <c r="AH273" s="34"/>
      <c r="AI273" s="34"/>
      <c r="AJ273" s="34"/>
      <c r="AK273" s="34"/>
      <c r="AL273" s="34"/>
      <c r="AM273" s="34"/>
    </row>
    <row r="274" spans="1:39" ht="12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G274" s="34"/>
      <c r="AH274" s="34"/>
      <c r="AI274" s="34"/>
      <c r="AJ274" s="34"/>
      <c r="AK274" s="34"/>
      <c r="AL274" s="34"/>
      <c r="AM274" s="34"/>
    </row>
    <row r="275" spans="1:39" ht="12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G275" s="34"/>
      <c r="AH275" s="34"/>
      <c r="AI275" s="34"/>
      <c r="AJ275" s="34"/>
      <c r="AK275" s="34"/>
      <c r="AL275" s="34"/>
      <c r="AM275" s="34"/>
    </row>
    <row r="276" spans="1:39" ht="12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G276" s="34"/>
      <c r="AH276" s="34"/>
      <c r="AI276" s="34"/>
      <c r="AJ276" s="34"/>
      <c r="AK276" s="34"/>
      <c r="AL276" s="34"/>
      <c r="AM276" s="34"/>
    </row>
    <row r="277" spans="1:39" ht="12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G277" s="34"/>
      <c r="AH277" s="34"/>
      <c r="AI277" s="34"/>
      <c r="AJ277" s="34"/>
      <c r="AK277" s="34"/>
      <c r="AL277" s="34"/>
      <c r="AM277" s="34"/>
    </row>
    <row r="278" spans="1:39" ht="12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G278" s="34"/>
      <c r="AH278" s="34"/>
      <c r="AI278" s="34"/>
      <c r="AJ278" s="34"/>
      <c r="AK278" s="34"/>
      <c r="AL278" s="34"/>
      <c r="AM278" s="34"/>
    </row>
    <row r="279" spans="1:39" ht="12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G279" s="34"/>
      <c r="AH279" s="34"/>
      <c r="AI279" s="34"/>
      <c r="AJ279" s="34"/>
      <c r="AK279" s="34"/>
      <c r="AL279" s="34"/>
      <c r="AM279" s="34"/>
    </row>
    <row r="280" spans="1:39" ht="12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G280" s="34"/>
      <c r="AH280" s="34"/>
      <c r="AI280" s="34"/>
      <c r="AJ280" s="34"/>
      <c r="AK280" s="34"/>
      <c r="AL280" s="34"/>
      <c r="AM280" s="34"/>
    </row>
    <row r="281" spans="1:39" ht="12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G281" s="34"/>
      <c r="AH281" s="34"/>
      <c r="AI281" s="34"/>
      <c r="AJ281" s="34"/>
      <c r="AK281" s="34"/>
      <c r="AL281" s="34"/>
      <c r="AM281" s="34"/>
    </row>
    <row r="282" spans="1:39" ht="12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G282" s="34"/>
      <c r="AH282" s="34"/>
      <c r="AI282" s="34"/>
      <c r="AJ282" s="34"/>
      <c r="AK282" s="34"/>
      <c r="AL282" s="34"/>
      <c r="AM282" s="34"/>
    </row>
    <row r="283" spans="1:39" ht="12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G283" s="34"/>
      <c r="AH283" s="34"/>
      <c r="AI283" s="34"/>
      <c r="AJ283" s="34"/>
      <c r="AK283" s="34"/>
      <c r="AL283" s="34"/>
      <c r="AM283" s="34"/>
    </row>
    <row r="284" spans="1:39" ht="12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G284" s="34"/>
      <c r="AH284" s="34"/>
      <c r="AI284" s="34"/>
      <c r="AJ284" s="34"/>
      <c r="AK284" s="34"/>
      <c r="AL284" s="34"/>
      <c r="AM284" s="34"/>
    </row>
    <row r="285" spans="1:39" ht="12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G285" s="34"/>
      <c r="AH285" s="34"/>
      <c r="AI285" s="34"/>
      <c r="AJ285" s="34"/>
      <c r="AK285" s="34"/>
      <c r="AL285" s="34"/>
      <c r="AM285" s="34"/>
    </row>
    <row r="286" spans="1:39" ht="12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G286" s="34"/>
      <c r="AH286" s="34"/>
      <c r="AI286" s="34"/>
      <c r="AJ286" s="34"/>
      <c r="AK286" s="34"/>
      <c r="AL286" s="34"/>
      <c r="AM286" s="34"/>
    </row>
    <row r="287" spans="1:39" ht="12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G287" s="34"/>
      <c r="AH287" s="34"/>
      <c r="AI287" s="34"/>
      <c r="AJ287" s="34"/>
      <c r="AK287" s="34"/>
      <c r="AL287" s="34"/>
      <c r="AM287" s="34"/>
    </row>
    <row r="288" spans="1:39" ht="12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G288" s="34"/>
      <c r="AH288" s="34"/>
      <c r="AI288" s="34"/>
      <c r="AJ288" s="34"/>
      <c r="AK288" s="34"/>
      <c r="AL288" s="34"/>
      <c r="AM288" s="34"/>
    </row>
    <row r="289" spans="1:39" ht="12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G289" s="34"/>
      <c r="AH289" s="34"/>
      <c r="AI289" s="34"/>
      <c r="AJ289" s="34"/>
      <c r="AK289" s="34"/>
      <c r="AL289" s="34"/>
      <c r="AM289" s="34"/>
    </row>
    <row r="290" spans="1:39" ht="12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G290" s="34"/>
      <c r="AH290" s="34"/>
      <c r="AI290" s="34"/>
      <c r="AJ290" s="34"/>
      <c r="AK290" s="34"/>
      <c r="AL290" s="34"/>
      <c r="AM290" s="34"/>
    </row>
    <row r="291" spans="1:39" ht="12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G291" s="34"/>
      <c r="AH291" s="34"/>
      <c r="AI291" s="34"/>
      <c r="AJ291" s="34"/>
      <c r="AK291" s="34"/>
      <c r="AL291" s="34"/>
      <c r="AM291" s="34"/>
    </row>
    <row r="292" spans="1:39" ht="12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G292" s="34"/>
      <c r="AH292" s="34"/>
      <c r="AI292" s="34"/>
      <c r="AJ292" s="34"/>
      <c r="AK292" s="34"/>
      <c r="AL292" s="34"/>
      <c r="AM292" s="34"/>
    </row>
    <row r="293" spans="1:39" ht="12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G293" s="34"/>
      <c r="AH293" s="34"/>
      <c r="AI293" s="34"/>
      <c r="AJ293" s="34"/>
      <c r="AK293" s="34"/>
      <c r="AL293" s="34"/>
      <c r="AM293" s="34"/>
    </row>
    <row r="294" spans="1:39" ht="12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G294" s="34"/>
      <c r="AH294" s="34"/>
      <c r="AI294" s="34"/>
      <c r="AJ294" s="34"/>
      <c r="AK294" s="34"/>
      <c r="AL294" s="34"/>
      <c r="AM294" s="34"/>
    </row>
    <row r="295" spans="1:39" ht="12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G295" s="34"/>
      <c r="AH295" s="34"/>
      <c r="AI295" s="34"/>
      <c r="AJ295" s="34"/>
      <c r="AK295" s="34"/>
      <c r="AL295" s="34"/>
      <c r="AM295" s="34"/>
    </row>
    <row r="296" spans="1:39" ht="12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G296" s="34"/>
      <c r="AH296" s="34"/>
      <c r="AI296" s="34"/>
      <c r="AJ296" s="34"/>
      <c r="AK296" s="34"/>
      <c r="AL296" s="34"/>
      <c r="AM296" s="34"/>
    </row>
    <row r="297" spans="1:39" ht="12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G297" s="34"/>
      <c r="AH297" s="34"/>
      <c r="AI297" s="34"/>
      <c r="AJ297" s="34"/>
      <c r="AK297" s="34"/>
      <c r="AL297" s="34"/>
      <c r="AM297" s="34"/>
    </row>
    <row r="298" spans="1:39" ht="12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G298" s="34"/>
      <c r="AH298" s="34"/>
      <c r="AI298" s="34"/>
      <c r="AJ298" s="34"/>
      <c r="AK298" s="34"/>
      <c r="AL298" s="34"/>
      <c r="AM298" s="34"/>
    </row>
    <row r="299" spans="1:39" ht="12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G299" s="34"/>
      <c r="AH299" s="34"/>
      <c r="AI299" s="34"/>
      <c r="AJ299" s="34"/>
      <c r="AK299" s="34"/>
      <c r="AL299" s="34"/>
      <c r="AM299" s="34"/>
    </row>
    <row r="300" spans="1:39" ht="12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G300" s="34"/>
      <c r="AH300" s="34"/>
      <c r="AI300" s="34"/>
      <c r="AJ300" s="34"/>
      <c r="AK300" s="34"/>
      <c r="AL300" s="34"/>
      <c r="AM300" s="34"/>
    </row>
    <row r="301" spans="1:39" ht="12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G301" s="34"/>
      <c r="AH301" s="34"/>
      <c r="AI301" s="34"/>
      <c r="AJ301" s="34"/>
      <c r="AK301" s="34"/>
      <c r="AL301" s="34"/>
      <c r="AM301" s="34"/>
    </row>
    <row r="302" spans="1:39" ht="12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G302" s="34"/>
      <c r="AH302" s="34"/>
      <c r="AI302" s="34"/>
      <c r="AJ302" s="34"/>
      <c r="AK302" s="34"/>
      <c r="AL302" s="34"/>
      <c r="AM302" s="34"/>
    </row>
    <row r="303" spans="1:39" ht="12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G303" s="34"/>
      <c r="AH303" s="34"/>
      <c r="AI303" s="34"/>
      <c r="AJ303" s="34"/>
      <c r="AK303" s="34"/>
      <c r="AL303" s="34"/>
      <c r="AM303" s="34"/>
    </row>
    <row r="304" spans="1:39" ht="12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G304" s="34"/>
      <c r="AH304" s="34"/>
      <c r="AI304" s="34"/>
      <c r="AJ304" s="34"/>
      <c r="AK304" s="34"/>
      <c r="AL304" s="34"/>
      <c r="AM304" s="34"/>
    </row>
    <row r="305" spans="1:39" ht="12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G305" s="34"/>
      <c r="AH305" s="34"/>
      <c r="AI305" s="34"/>
      <c r="AJ305" s="34"/>
      <c r="AK305" s="34"/>
      <c r="AL305" s="34"/>
      <c r="AM305" s="34"/>
    </row>
    <row r="306" spans="1:39" ht="12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G306" s="34"/>
      <c r="AH306" s="34"/>
      <c r="AI306" s="34"/>
      <c r="AJ306" s="34"/>
      <c r="AK306" s="34"/>
      <c r="AL306" s="34"/>
      <c r="AM306" s="34"/>
    </row>
    <row r="307" spans="1:39" ht="12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G307" s="34"/>
      <c r="AH307" s="34"/>
      <c r="AI307" s="34"/>
      <c r="AJ307" s="34"/>
      <c r="AK307" s="34"/>
      <c r="AL307" s="34"/>
      <c r="AM307" s="34"/>
    </row>
    <row r="308" spans="1:39" ht="12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G308" s="34"/>
      <c r="AH308" s="34"/>
      <c r="AI308" s="34"/>
      <c r="AJ308" s="34"/>
      <c r="AK308" s="34"/>
      <c r="AL308" s="34"/>
      <c r="AM308" s="34"/>
    </row>
    <row r="309" spans="1:39" ht="12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G309" s="34"/>
      <c r="AH309" s="34"/>
      <c r="AI309" s="34"/>
      <c r="AJ309" s="34"/>
      <c r="AK309" s="34"/>
      <c r="AL309" s="34"/>
      <c r="AM309" s="34"/>
    </row>
    <row r="310" spans="1:39" ht="12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G310" s="34"/>
      <c r="AH310" s="34"/>
      <c r="AI310" s="34"/>
      <c r="AJ310" s="34"/>
      <c r="AK310" s="34"/>
      <c r="AL310" s="34"/>
      <c r="AM310" s="34"/>
    </row>
    <row r="311" spans="1:39" ht="12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G311" s="34"/>
      <c r="AH311" s="34"/>
      <c r="AI311" s="34"/>
      <c r="AJ311" s="34"/>
      <c r="AK311" s="34"/>
      <c r="AL311" s="34"/>
      <c r="AM311" s="34"/>
    </row>
    <row r="312" spans="1:39" ht="12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G312" s="34"/>
      <c r="AH312" s="34"/>
      <c r="AI312" s="34"/>
      <c r="AJ312" s="34"/>
      <c r="AK312" s="34"/>
      <c r="AL312" s="34"/>
      <c r="AM312" s="34"/>
    </row>
    <row r="313" spans="1:39" ht="12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G313" s="34"/>
      <c r="AH313" s="34"/>
      <c r="AI313" s="34"/>
      <c r="AJ313" s="34"/>
      <c r="AK313" s="34"/>
      <c r="AL313" s="34"/>
      <c r="AM313" s="34"/>
    </row>
    <row r="314" spans="1:39" ht="12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G314" s="34"/>
      <c r="AH314" s="34"/>
      <c r="AI314" s="34"/>
      <c r="AJ314" s="34"/>
      <c r="AK314" s="34"/>
      <c r="AL314" s="34"/>
      <c r="AM314" s="34"/>
    </row>
    <row r="315" spans="1:39" ht="12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G315" s="34"/>
      <c r="AH315" s="34"/>
      <c r="AI315" s="34"/>
      <c r="AJ315" s="34"/>
      <c r="AK315" s="34"/>
      <c r="AL315" s="34"/>
      <c r="AM315" s="34"/>
    </row>
    <row r="316" spans="1:39" ht="12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G316" s="34"/>
      <c r="AH316" s="34"/>
      <c r="AI316" s="34"/>
      <c r="AJ316" s="34"/>
      <c r="AK316" s="34"/>
      <c r="AL316" s="34"/>
      <c r="AM316" s="34"/>
    </row>
    <row r="317" spans="1:39" ht="12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G317" s="34"/>
      <c r="AH317" s="34"/>
      <c r="AI317" s="34"/>
      <c r="AJ317" s="34"/>
      <c r="AK317" s="34"/>
      <c r="AL317" s="34"/>
      <c r="AM317" s="34"/>
    </row>
    <row r="318" spans="1:39" ht="12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G318" s="34"/>
      <c r="AH318" s="34"/>
      <c r="AI318" s="34"/>
      <c r="AJ318" s="34"/>
      <c r="AK318" s="34"/>
      <c r="AL318" s="34"/>
      <c r="AM318" s="34"/>
    </row>
    <row r="319" spans="1:39" ht="12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G319" s="34"/>
      <c r="AH319" s="34"/>
      <c r="AI319" s="34"/>
      <c r="AJ319" s="34"/>
      <c r="AK319" s="34"/>
      <c r="AL319" s="34"/>
      <c r="AM319" s="34"/>
    </row>
    <row r="320" spans="1:39" ht="12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G320" s="34"/>
      <c r="AH320" s="34"/>
      <c r="AI320" s="34"/>
      <c r="AJ320" s="34"/>
      <c r="AK320" s="34"/>
      <c r="AL320" s="34"/>
      <c r="AM320" s="34"/>
    </row>
    <row r="321" spans="1:39" ht="12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G321" s="34"/>
      <c r="AH321" s="34"/>
      <c r="AI321" s="34"/>
      <c r="AJ321" s="34"/>
      <c r="AK321" s="34"/>
      <c r="AL321" s="34"/>
      <c r="AM321" s="34"/>
    </row>
    <row r="322" spans="1:39" ht="12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G322" s="34"/>
      <c r="AH322" s="34"/>
      <c r="AI322" s="34"/>
      <c r="AJ322" s="34"/>
      <c r="AK322" s="34"/>
      <c r="AL322" s="34"/>
      <c r="AM322" s="34"/>
    </row>
    <row r="323" spans="1:39" ht="12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G323" s="34"/>
      <c r="AH323" s="34"/>
      <c r="AI323" s="34"/>
      <c r="AJ323" s="34"/>
      <c r="AK323" s="34"/>
      <c r="AL323" s="34"/>
      <c r="AM323" s="34"/>
    </row>
    <row r="324" spans="1:39" ht="12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G324" s="34"/>
      <c r="AH324" s="34"/>
      <c r="AI324" s="34"/>
      <c r="AJ324" s="34"/>
      <c r="AK324" s="34"/>
      <c r="AL324" s="34"/>
      <c r="AM324" s="34"/>
    </row>
    <row r="325" spans="1:39" ht="12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G325" s="34"/>
      <c r="AH325" s="34"/>
      <c r="AI325" s="34"/>
      <c r="AJ325" s="34"/>
      <c r="AK325" s="34"/>
      <c r="AL325" s="34"/>
      <c r="AM325" s="34"/>
    </row>
    <row r="326" spans="1:39" ht="12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G326" s="34"/>
      <c r="AH326" s="34"/>
      <c r="AI326" s="34"/>
      <c r="AJ326" s="34"/>
      <c r="AK326" s="34"/>
      <c r="AL326" s="34"/>
      <c r="AM326" s="34"/>
    </row>
    <row r="327" spans="1:39" ht="12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G327" s="34"/>
      <c r="AH327" s="34"/>
      <c r="AI327" s="34"/>
      <c r="AJ327" s="34"/>
      <c r="AK327" s="34"/>
      <c r="AL327" s="34"/>
      <c r="AM327" s="34"/>
    </row>
    <row r="328" spans="1:39" ht="12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G328" s="34"/>
      <c r="AH328" s="34"/>
      <c r="AI328" s="34"/>
      <c r="AJ328" s="34"/>
      <c r="AK328" s="34"/>
      <c r="AL328" s="34"/>
      <c r="AM328" s="34"/>
    </row>
    <row r="329" spans="1:39" ht="12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G329" s="34"/>
      <c r="AH329" s="34"/>
      <c r="AI329" s="34"/>
      <c r="AJ329" s="34"/>
      <c r="AK329" s="34"/>
      <c r="AL329" s="34"/>
      <c r="AM329" s="34"/>
    </row>
    <row r="330" spans="1:39" ht="12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G330" s="34"/>
      <c r="AH330" s="34"/>
      <c r="AI330" s="34"/>
      <c r="AJ330" s="34"/>
      <c r="AK330" s="34"/>
      <c r="AL330" s="34"/>
      <c r="AM330" s="34"/>
    </row>
    <row r="331" spans="1:39" ht="12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G331" s="34"/>
      <c r="AH331" s="34"/>
      <c r="AI331" s="34"/>
      <c r="AJ331" s="34"/>
      <c r="AK331" s="34"/>
      <c r="AL331" s="34"/>
      <c r="AM331" s="34"/>
    </row>
    <row r="332" spans="1:39" ht="12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G332" s="34"/>
      <c r="AH332" s="34"/>
      <c r="AI332" s="34"/>
      <c r="AJ332" s="34"/>
      <c r="AK332" s="34"/>
      <c r="AL332" s="34"/>
      <c r="AM332" s="34"/>
    </row>
    <row r="333" spans="1:39" ht="12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G333" s="34"/>
      <c r="AH333" s="34"/>
      <c r="AI333" s="34"/>
      <c r="AJ333" s="34"/>
      <c r="AK333" s="34"/>
      <c r="AL333" s="34"/>
      <c r="AM333" s="34"/>
    </row>
    <row r="334" spans="1:39" ht="12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G334" s="34"/>
      <c r="AH334" s="34"/>
      <c r="AI334" s="34"/>
      <c r="AJ334" s="34"/>
      <c r="AK334" s="34"/>
      <c r="AL334" s="34"/>
      <c r="AM334" s="34"/>
    </row>
    <row r="335" spans="1:39" ht="12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G335" s="34"/>
      <c r="AH335" s="34"/>
      <c r="AI335" s="34"/>
      <c r="AJ335" s="34"/>
      <c r="AK335" s="34"/>
      <c r="AL335" s="34"/>
      <c r="AM335" s="34"/>
    </row>
    <row r="336" spans="1:39" ht="12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G336" s="34"/>
      <c r="AH336" s="34"/>
      <c r="AI336" s="34"/>
      <c r="AJ336" s="34"/>
      <c r="AK336" s="34"/>
      <c r="AL336" s="34"/>
      <c r="AM336" s="34"/>
    </row>
    <row r="337" spans="1:39" ht="12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G337" s="34"/>
      <c r="AH337" s="34"/>
      <c r="AI337" s="34"/>
      <c r="AJ337" s="34"/>
      <c r="AK337" s="34"/>
      <c r="AL337" s="34"/>
      <c r="AM337" s="34"/>
    </row>
    <row r="338" spans="1:39" ht="12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G338" s="34"/>
      <c r="AH338" s="34"/>
      <c r="AI338" s="34"/>
      <c r="AJ338" s="34"/>
      <c r="AK338" s="34"/>
      <c r="AL338" s="34"/>
      <c r="AM338" s="34"/>
    </row>
    <row r="339" spans="1:39" ht="12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G339" s="34"/>
      <c r="AH339" s="34"/>
      <c r="AI339" s="34"/>
      <c r="AJ339" s="34"/>
      <c r="AK339" s="34"/>
      <c r="AL339" s="34"/>
      <c r="AM339" s="34"/>
    </row>
    <row r="340" spans="1:39" ht="12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G340" s="34"/>
      <c r="AH340" s="34"/>
      <c r="AI340" s="34"/>
      <c r="AJ340" s="34"/>
      <c r="AK340" s="34"/>
      <c r="AL340" s="34"/>
      <c r="AM340" s="34"/>
    </row>
    <row r="341" spans="1:39" ht="12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G341" s="34"/>
      <c r="AH341" s="34"/>
      <c r="AI341" s="34"/>
      <c r="AJ341" s="34"/>
      <c r="AK341" s="34"/>
      <c r="AL341" s="34"/>
      <c r="AM341" s="34"/>
    </row>
    <row r="342" spans="1:39" ht="12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G342" s="34"/>
      <c r="AH342" s="34"/>
      <c r="AI342" s="34"/>
      <c r="AJ342" s="34"/>
      <c r="AK342" s="34"/>
      <c r="AL342" s="34"/>
      <c r="AM342" s="34"/>
    </row>
    <row r="343" spans="1:39" ht="12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G343" s="34"/>
      <c r="AH343" s="34"/>
      <c r="AI343" s="34"/>
      <c r="AJ343" s="34"/>
      <c r="AK343" s="34"/>
      <c r="AL343" s="34"/>
      <c r="AM343" s="34"/>
    </row>
    <row r="344" spans="1:39" ht="12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G344" s="34"/>
      <c r="AH344" s="34"/>
      <c r="AI344" s="34"/>
      <c r="AJ344" s="34"/>
      <c r="AK344" s="34"/>
      <c r="AL344" s="34"/>
      <c r="AM344" s="34"/>
    </row>
    <row r="345" spans="1:39" ht="12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G345" s="34"/>
      <c r="AH345" s="34"/>
      <c r="AI345" s="34"/>
      <c r="AJ345" s="34"/>
      <c r="AK345" s="34"/>
      <c r="AL345" s="34"/>
      <c r="AM345" s="34"/>
    </row>
    <row r="346" spans="1:39" ht="12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G346" s="34"/>
      <c r="AH346" s="34"/>
      <c r="AI346" s="34"/>
      <c r="AJ346" s="34"/>
      <c r="AK346" s="34"/>
      <c r="AL346" s="34"/>
      <c r="AM346" s="34"/>
    </row>
    <row r="347" spans="1:39" ht="12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G347" s="34"/>
      <c r="AH347" s="34"/>
      <c r="AI347" s="34"/>
      <c r="AJ347" s="34"/>
      <c r="AK347" s="34"/>
      <c r="AL347" s="34"/>
      <c r="AM347" s="34"/>
    </row>
    <row r="348" spans="1:39" ht="12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G348" s="34"/>
      <c r="AH348" s="34"/>
      <c r="AI348" s="34"/>
      <c r="AJ348" s="34"/>
      <c r="AK348" s="34"/>
      <c r="AL348" s="34"/>
      <c r="AM348" s="34"/>
    </row>
    <row r="349" spans="1:39" ht="12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G349" s="34"/>
      <c r="AH349" s="34"/>
      <c r="AI349" s="34"/>
      <c r="AJ349" s="34"/>
      <c r="AK349" s="34"/>
      <c r="AL349" s="34"/>
      <c r="AM349" s="34"/>
    </row>
    <row r="350" spans="1:39" ht="12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G350" s="34"/>
      <c r="AH350" s="34"/>
      <c r="AI350" s="34"/>
      <c r="AJ350" s="34"/>
      <c r="AK350" s="34"/>
      <c r="AL350" s="34"/>
      <c r="AM350" s="34"/>
    </row>
    <row r="351" spans="1:39" ht="12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G351" s="34"/>
      <c r="AH351" s="34"/>
      <c r="AI351" s="34"/>
      <c r="AJ351" s="34"/>
      <c r="AK351" s="34"/>
      <c r="AL351" s="34"/>
      <c r="AM351" s="34"/>
    </row>
    <row r="352" spans="1:39" ht="12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G352" s="34"/>
      <c r="AH352" s="34"/>
      <c r="AI352" s="34"/>
      <c r="AJ352" s="34"/>
      <c r="AK352" s="34"/>
      <c r="AL352" s="34"/>
      <c r="AM352" s="34"/>
    </row>
    <row r="353" spans="1:39" ht="12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G353" s="34"/>
      <c r="AH353" s="34"/>
      <c r="AI353" s="34"/>
      <c r="AJ353" s="34"/>
      <c r="AK353" s="34"/>
      <c r="AL353" s="34"/>
      <c r="AM353" s="34"/>
    </row>
    <row r="354" spans="1:39" ht="12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G354" s="34"/>
      <c r="AH354" s="34"/>
      <c r="AI354" s="34"/>
      <c r="AJ354" s="34"/>
      <c r="AK354" s="34"/>
      <c r="AL354" s="34"/>
      <c r="AM354" s="34"/>
    </row>
    <row r="355" spans="1:39" ht="12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G355" s="34"/>
      <c r="AH355" s="34"/>
      <c r="AI355" s="34"/>
      <c r="AJ355" s="34"/>
      <c r="AK355" s="34"/>
      <c r="AL355" s="34"/>
      <c r="AM355" s="34"/>
    </row>
    <row r="356" spans="1:39" ht="12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G356" s="34"/>
      <c r="AH356" s="34"/>
      <c r="AI356" s="34"/>
      <c r="AJ356" s="34"/>
      <c r="AK356" s="34"/>
      <c r="AL356" s="34"/>
      <c r="AM356" s="34"/>
    </row>
    <row r="357" spans="1:39" ht="12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G357" s="34"/>
      <c r="AH357" s="34"/>
      <c r="AI357" s="34"/>
      <c r="AJ357" s="34"/>
      <c r="AK357" s="34"/>
      <c r="AL357" s="34"/>
      <c r="AM357" s="34"/>
    </row>
    <row r="358" spans="1:39" ht="12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G358" s="34"/>
      <c r="AH358" s="34"/>
      <c r="AI358" s="34"/>
      <c r="AJ358" s="34"/>
      <c r="AK358" s="34"/>
      <c r="AL358" s="34"/>
      <c r="AM358" s="34"/>
    </row>
    <row r="359" spans="1:39" ht="12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G359" s="34"/>
      <c r="AH359" s="34"/>
      <c r="AI359" s="34"/>
      <c r="AJ359" s="34"/>
      <c r="AK359" s="34"/>
      <c r="AL359" s="34"/>
      <c r="AM359" s="34"/>
    </row>
    <row r="360" spans="1:39" ht="12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G360" s="34"/>
      <c r="AH360" s="34"/>
      <c r="AI360" s="34"/>
      <c r="AJ360" s="34"/>
      <c r="AK360" s="34"/>
      <c r="AL360" s="34"/>
      <c r="AM360" s="34"/>
    </row>
    <row r="361" spans="1:39" ht="12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G361" s="34"/>
      <c r="AH361" s="34"/>
      <c r="AI361" s="34"/>
      <c r="AJ361" s="34"/>
      <c r="AK361" s="34"/>
      <c r="AL361" s="34"/>
      <c r="AM361" s="34"/>
    </row>
    <row r="362" spans="1:39" ht="12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G362" s="34"/>
      <c r="AH362" s="34"/>
      <c r="AI362" s="34"/>
      <c r="AJ362" s="34"/>
      <c r="AK362" s="34"/>
      <c r="AL362" s="34"/>
      <c r="AM362" s="34"/>
    </row>
    <row r="363" spans="1:39" ht="12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G363" s="34"/>
      <c r="AH363" s="34"/>
      <c r="AI363" s="34"/>
      <c r="AJ363" s="34"/>
      <c r="AK363" s="34"/>
      <c r="AL363" s="34"/>
      <c r="AM363" s="34"/>
    </row>
    <row r="364" spans="1:39" ht="12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G364" s="34"/>
      <c r="AH364" s="34"/>
      <c r="AI364" s="34"/>
      <c r="AJ364" s="34"/>
      <c r="AK364" s="34"/>
      <c r="AL364" s="34"/>
      <c r="AM364" s="34"/>
    </row>
    <row r="365" spans="1:39" ht="12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G365" s="34"/>
      <c r="AH365" s="34"/>
      <c r="AI365" s="34"/>
      <c r="AJ365" s="34"/>
      <c r="AK365" s="34"/>
      <c r="AL365" s="34"/>
      <c r="AM365" s="34"/>
    </row>
    <row r="366" spans="1:39" ht="12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G366" s="34"/>
      <c r="AH366" s="34"/>
      <c r="AI366" s="34"/>
      <c r="AJ366" s="34"/>
      <c r="AK366" s="34"/>
      <c r="AL366" s="34"/>
      <c r="AM366" s="34"/>
    </row>
    <row r="367" spans="1:39" ht="12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G367" s="34"/>
      <c r="AH367" s="34"/>
      <c r="AI367" s="34"/>
      <c r="AJ367" s="34"/>
      <c r="AK367" s="34"/>
      <c r="AL367" s="34"/>
      <c r="AM367" s="34"/>
    </row>
    <row r="368" spans="1:39" ht="12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G368" s="34"/>
      <c r="AH368" s="34"/>
      <c r="AI368" s="34"/>
      <c r="AJ368" s="34"/>
      <c r="AK368" s="34"/>
      <c r="AL368" s="34"/>
      <c r="AM368" s="34"/>
    </row>
    <row r="369" spans="1:39" ht="12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G369" s="34"/>
      <c r="AH369" s="34"/>
      <c r="AI369" s="34"/>
      <c r="AJ369" s="34"/>
      <c r="AK369" s="34"/>
      <c r="AL369" s="34"/>
      <c r="AM369" s="34"/>
    </row>
    <row r="370" spans="1:39" ht="12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G370" s="34"/>
      <c r="AH370" s="34"/>
      <c r="AI370" s="34"/>
      <c r="AJ370" s="34"/>
      <c r="AK370" s="34"/>
      <c r="AL370" s="34"/>
      <c r="AM370" s="34"/>
    </row>
    <row r="371" spans="1:39" ht="12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G371" s="34"/>
      <c r="AH371" s="34"/>
      <c r="AI371" s="34"/>
      <c r="AJ371" s="34"/>
      <c r="AK371" s="34"/>
      <c r="AL371" s="34"/>
      <c r="AM371" s="34"/>
    </row>
    <row r="372" spans="1:39" ht="12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G372" s="34"/>
      <c r="AH372" s="34"/>
      <c r="AI372" s="34"/>
      <c r="AJ372" s="34"/>
      <c r="AK372" s="34"/>
      <c r="AL372" s="34"/>
      <c r="AM372" s="34"/>
    </row>
    <row r="373" spans="1:39" ht="12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G373" s="34"/>
      <c r="AH373" s="34"/>
      <c r="AI373" s="34"/>
      <c r="AJ373" s="34"/>
      <c r="AK373" s="34"/>
      <c r="AL373" s="34"/>
      <c r="AM373" s="34"/>
    </row>
    <row r="374" spans="1:39" ht="12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G374" s="34"/>
      <c r="AH374" s="34"/>
      <c r="AI374" s="34"/>
      <c r="AJ374" s="34"/>
      <c r="AK374" s="34"/>
      <c r="AL374" s="34"/>
      <c r="AM374" s="34"/>
    </row>
    <row r="375" spans="1:39" ht="12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G375" s="34"/>
      <c r="AH375" s="34"/>
      <c r="AI375" s="34"/>
      <c r="AJ375" s="34"/>
      <c r="AK375" s="34"/>
      <c r="AL375" s="34"/>
      <c r="AM375" s="34"/>
    </row>
    <row r="376" spans="1:39" ht="12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G376" s="34"/>
      <c r="AH376" s="34"/>
      <c r="AI376" s="34"/>
      <c r="AJ376" s="34"/>
      <c r="AK376" s="34"/>
      <c r="AL376" s="34"/>
      <c r="AM376" s="34"/>
    </row>
    <row r="377" spans="1:39" ht="12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G377" s="34"/>
      <c r="AH377" s="34"/>
      <c r="AI377" s="34"/>
      <c r="AJ377" s="34"/>
      <c r="AK377" s="34"/>
      <c r="AL377" s="34"/>
      <c r="AM377" s="34"/>
    </row>
    <row r="378" spans="1:39" ht="12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G378" s="34"/>
      <c r="AH378" s="34"/>
      <c r="AI378" s="34"/>
      <c r="AJ378" s="34"/>
      <c r="AK378" s="34"/>
      <c r="AL378" s="34"/>
      <c r="AM378" s="34"/>
    </row>
    <row r="379" spans="1:39" ht="12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G379" s="34"/>
      <c r="AH379" s="34"/>
      <c r="AI379" s="34"/>
      <c r="AJ379" s="34"/>
      <c r="AK379" s="34"/>
      <c r="AL379" s="34"/>
      <c r="AM379" s="34"/>
    </row>
    <row r="380" spans="1:39" ht="12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G380" s="34"/>
      <c r="AH380" s="34"/>
      <c r="AI380" s="34"/>
      <c r="AJ380" s="34"/>
      <c r="AK380" s="34"/>
      <c r="AL380" s="34"/>
      <c r="AM380" s="34"/>
    </row>
    <row r="381" spans="1:39" ht="12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G381" s="34"/>
      <c r="AH381" s="34"/>
      <c r="AI381" s="34"/>
      <c r="AJ381" s="34"/>
      <c r="AK381" s="34"/>
      <c r="AL381" s="34"/>
      <c r="AM381" s="34"/>
    </row>
    <row r="382" spans="1:39" ht="12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G382" s="34"/>
      <c r="AH382" s="34"/>
      <c r="AI382" s="34"/>
      <c r="AJ382" s="34"/>
      <c r="AK382" s="34"/>
      <c r="AL382" s="34"/>
      <c r="AM382" s="34"/>
    </row>
    <row r="383" spans="1:39" ht="12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G383" s="34"/>
      <c r="AH383" s="34"/>
      <c r="AI383" s="34"/>
      <c r="AJ383" s="34"/>
      <c r="AK383" s="34"/>
      <c r="AL383" s="34"/>
      <c r="AM383" s="34"/>
    </row>
    <row r="384" spans="1:39" ht="12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G384" s="34"/>
      <c r="AH384" s="34"/>
      <c r="AI384" s="34"/>
      <c r="AJ384" s="34"/>
      <c r="AK384" s="34"/>
      <c r="AL384" s="34"/>
      <c r="AM384" s="34"/>
    </row>
    <row r="385" spans="1:39" ht="12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G385" s="34"/>
      <c r="AH385" s="34"/>
      <c r="AI385" s="34"/>
      <c r="AJ385" s="34"/>
      <c r="AK385" s="34"/>
      <c r="AL385" s="34"/>
      <c r="AM385" s="34"/>
    </row>
    <row r="386" spans="1:39" ht="12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G386" s="34"/>
      <c r="AH386" s="34"/>
      <c r="AI386" s="34"/>
      <c r="AJ386" s="34"/>
      <c r="AK386" s="34"/>
      <c r="AL386" s="34"/>
      <c r="AM386" s="34"/>
    </row>
    <row r="387" spans="1:39" ht="12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G387" s="34"/>
      <c r="AH387" s="34"/>
      <c r="AI387" s="34"/>
      <c r="AJ387" s="34"/>
      <c r="AK387" s="34"/>
      <c r="AL387" s="34"/>
      <c r="AM387" s="34"/>
    </row>
    <row r="388" spans="1:39" ht="12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G388" s="34"/>
      <c r="AH388" s="34"/>
      <c r="AI388" s="34"/>
      <c r="AJ388" s="34"/>
      <c r="AK388" s="34"/>
      <c r="AL388" s="34"/>
      <c r="AM388" s="34"/>
    </row>
    <row r="389" spans="1:39" ht="12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G389" s="34"/>
      <c r="AH389" s="34"/>
      <c r="AI389" s="34"/>
      <c r="AJ389" s="34"/>
      <c r="AK389" s="34"/>
      <c r="AL389" s="34"/>
      <c r="AM389" s="34"/>
    </row>
    <row r="390" spans="1:39" ht="12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G390" s="34"/>
      <c r="AH390" s="34"/>
      <c r="AI390" s="34"/>
      <c r="AJ390" s="34"/>
      <c r="AK390" s="34"/>
      <c r="AL390" s="34"/>
      <c r="AM390" s="34"/>
    </row>
    <row r="391" spans="1:39" ht="12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G391" s="34"/>
      <c r="AH391" s="34"/>
      <c r="AI391" s="34"/>
      <c r="AJ391" s="34"/>
      <c r="AK391" s="34"/>
      <c r="AL391" s="34"/>
      <c r="AM391" s="34"/>
    </row>
    <row r="392" spans="1:39" ht="12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G392" s="34"/>
      <c r="AH392" s="34"/>
      <c r="AI392" s="34"/>
      <c r="AJ392" s="34"/>
      <c r="AK392" s="34"/>
      <c r="AL392" s="34"/>
      <c r="AM392" s="34"/>
    </row>
    <row r="393" spans="1:39" ht="12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G393" s="34"/>
      <c r="AH393" s="34"/>
      <c r="AI393" s="34"/>
      <c r="AJ393" s="34"/>
      <c r="AK393" s="34"/>
      <c r="AL393" s="34"/>
      <c r="AM393" s="34"/>
    </row>
    <row r="394" spans="1:39" ht="12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G394" s="34"/>
      <c r="AH394" s="34"/>
      <c r="AI394" s="34"/>
      <c r="AJ394" s="34"/>
      <c r="AK394" s="34"/>
      <c r="AL394" s="34"/>
      <c r="AM394" s="34"/>
    </row>
    <row r="395" spans="1:39" ht="12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G395" s="34"/>
      <c r="AH395" s="34"/>
      <c r="AI395" s="34"/>
      <c r="AJ395" s="34"/>
      <c r="AK395" s="34"/>
      <c r="AL395" s="34"/>
      <c r="AM395" s="34"/>
    </row>
    <row r="396" spans="1:39" ht="12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G396" s="34"/>
      <c r="AH396" s="34"/>
      <c r="AI396" s="34"/>
      <c r="AJ396" s="34"/>
      <c r="AK396" s="34"/>
      <c r="AL396" s="34"/>
      <c r="AM396" s="34"/>
    </row>
    <row r="397" spans="1:39" ht="12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G397" s="34"/>
      <c r="AH397" s="34"/>
      <c r="AI397" s="34"/>
      <c r="AJ397" s="34"/>
      <c r="AK397" s="34"/>
      <c r="AL397" s="34"/>
      <c r="AM397" s="34"/>
    </row>
    <row r="398" spans="1:39" ht="12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G398" s="34"/>
      <c r="AH398" s="34"/>
      <c r="AI398" s="34"/>
      <c r="AJ398" s="34"/>
      <c r="AK398" s="34"/>
      <c r="AL398" s="34"/>
      <c r="AM398" s="34"/>
    </row>
    <row r="399" spans="1:39" ht="12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G399" s="34"/>
      <c r="AH399" s="34"/>
      <c r="AI399" s="34"/>
      <c r="AJ399" s="34"/>
      <c r="AK399" s="34"/>
      <c r="AL399" s="34"/>
      <c r="AM399" s="34"/>
    </row>
    <row r="400" spans="1:39" ht="12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G400" s="34"/>
      <c r="AH400" s="34"/>
      <c r="AI400" s="34"/>
      <c r="AJ400" s="34"/>
      <c r="AK400" s="34"/>
      <c r="AL400" s="34"/>
      <c r="AM400" s="34"/>
    </row>
    <row r="401" spans="1:39" ht="12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G401" s="34"/>
      <c r="AH401" s="34"/>
      <c r="AI401" s="34"/>
      <c r="AJ401" s="34"/>
      <c r="AK401" s="34"/>
      <c r="AL401" s="34"/>
      <c r="AM401" s="34"/>
    </row>
    <row r="402" spans="1:39" ht="12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G402" s="34"/>
      <c r="AH402" s="34"/>
      <c r="AI402" s="34"/>
      <c r="AJ402" s="34"/>
      <c r="AK402" s="34"/>
      <c r="AL402" s="34"/>
      <c r="AM402" s="34"/>
    </row>
    <row r="403" spans="1:39" ht="12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G403" s="34"/>
      <c r="AH403" s="34"/>
      <c r="AI403" s="34"/>
      <c r="AJ403" s="34"/>
      <c r="AK403" s="34"/>
      <c r="AL403" s="34"/>
      <c r="AM403" s="34"/>
    </row>
    <row r="404" spans="1:39" ht="12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G404" s="34"/>
      <c r="AH404" s="34"/>
      <c r="AI404" s="34"/>
      <c r="AJ404" s="34"/>
      <c r="AK404" s="34"/>
      <c r="AL404" s="34"/>
      <c r="AM404" s="34"/>
    </row>
    <row r="405" spans="1:39" ht="12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G405" s="34"/>
      <c r="AH405" s="34"/>
      <c r="AI405" s="34"/>
      <c r="AJ405" s="34"/>
      <c r="AK405" s="34"/>
      <c r="AL405" s="34"/>
      <c r="AM405" s="34"/>
    </row>
    <row r="406" spans="1:39" ht="12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G406" s="34"/>
      <c r="AH406" s="34"/>
      <c r="AI406" s="34"/>
      <c r="AJ406" s="34"/>
      <c r="AK406" s="34"/>
      <c r="AL406" s="34"/>
      <c r="AM406" s="34"/>
    </row>
    <row r="407" spans="1:39" ht="12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G407" s="34"/>
      <c r="AH407" s="34"/>
      <c r="AI407" s="34"/>
      <c r="AJ407" s="34"/>
      <c r="AK407" s="34"/>
      <c r="AL407" s="34"/>
      <c r="AM407" s="34"/>
    </row>
    <row r="408" spans="1:39" ht="12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G408" s="34"/>
      <c r="AH408" s="34"/>
      <c r="AI408" s="34"/>
      <c r="AJ408" s="34"/>
      <c r="AK408" s="34"/>
      <c r="AL408" s="34"/>
      <c r="AM408" s="34"/>
    </row>
    <row r="409" spans="1:39" ht="12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G409" s="34"/>
      <c r="AH409" s="34"/>
      <c r="AI409" s="34"/>
      <c r="AJ409" s="34"/>
      <c r="AK409" s="34"/>
      <c r="AL409" s="34"/>
      <c r="AM409" s="34"/>
    </row>
    <row r="410" spans="1:39" ht="12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G410" s="34"/>
      <c r="AH410" s="34"/>
      <c r="AI410" s="34"/>
      <c r="AJ410" s="34"/>
      <c r="AK410" s="34"/>
      <c r="AL410" s="34"/>
      <c r="AM410" s="34"/>
    </row>
    <row r="411" spans="1:39" ht="12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G411" s="34"/>
      <c r="AH411" s="34"/>
      <c r="AI411" s="34"/>
      <c r="AJ411" s="34"/>
      <c r="AK411" s="34"/>
      <c r="AL411" s="34"/>
      <c r="AM411" s="34"/>
    </row>
    <row r="412" spans="1:39" ht="12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G412" s="34"/>
      <c r="AH412" s="34"/>
      <c r="AI412" s="34"/>
      <c r="AJ412" s="34"/>
      <c r="AK412" s="34"/>
      <c r="AL412" s="34"/>
      <c r="AM412" s="34"/>
    </row>
    <row r="413" spans="1:39" ht="12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G413" s="34"/>
      <c r="AH413" s="34"/>
      <c r="AI413" s="34"/>
      <c r="AJ413" s="34"/>
      <c r="AK413" s="34"/>
      <c r="AL413" s="34"/>
      <c r="AM413" s="34"/>
    </row>
    <row r="414" spans="1:39" ht="12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G414" s="34"/>
      <c r="AH414" s="34"/>
      <c r="AI414" s="34"/>
      <c r="AJ414" s="34"/>
      <c r="AK414" s="34"/>
      <c r="AL414" s="34"/>
      <c r="AM414" s="34"/>
    </row>
    <row r="415" spans="1:39" ht="12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G415" s="34"/>
      <c r="AH415" s="34"/>
      <c r="AI415" s="34"/>
      <c r="AJ415" s="34"/>
      <c r="AK415" s="34"/>
      <c r="AL415" s="34"/>
      <c r="AM415" s="34"/>
    </row>
    <row r="416" spans="1:39" ht="12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G416" s="34"/>
      <c r="AH416" s="34"/>
      <c r="AI416" s="34"/>
      <c r="AJ416" s="34"/>
      <c r="AK416" s="34"/>
      <c r="AL416" s="34"/>
      <c r="AM416" s="34"/>
    </row>
    <row r="417" spans="1:39" ht="12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G417" s="34"/>
      <c r="AH417" s="34"/>
      <c r="AI417" s="34"/>
      <c r="AJ417" s="34"/>
      <c r="AK417" s="34"/>
      <c r="AL417" s="34"/>
      <c r="AM417" s="34"/>
    </row>
    <row r="418" spans="1:39" ht="12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G418" s="34"/>
      <c r="AH418" s="34"/>
      <c r="AI418" s="34"/>
      <c r="AJ418" s="34"/>
      <c r="AK418" s="34"/>
      <c r="AL418" s="34"/>
      <c r="AM418" s="34"/>
    </row>
    <row r="419" spans="1:39" ht="12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G419" s="34"/>
      <c r="AH419" s="34"/>
      <c r="AI419" s="34"/>
      <c r="AJ419" s="34"/>
      <c r="AK419" s="34"/>
      <c r="AL419" s="34"/>
      <c r="AM419" s="34"/>
    </row>
    <row r="420" spans="1:39" ht="12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G420" s="34"/>
      <c r="AH420" s="34"/>
      <c r="AI420" s="34"/>
      <c r="AJ420" s="34"/>
      <c r="AK420" s="34"/>
      <c r="AL420" s="34"/>
      <c r="AM420" s="34"/>
    </row>
    <row r="421" spans="1:39" ht="12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G421" s="34"/>
      <c r="AH421" s="34"/>
      <c r="AI421" s="34"/>
      <c r="AJ421" s="34"/>
      <c r="AK421" s="34"/>
      <c r="AL421" s="34"/>
      <c r="AM421" s="34"/>
    </row>
    <row r="422" spans="1:39" ht="12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G422" s="34"/>
      <c r="AH422" s="34"/>
      <c r="AI422" s="34"/>
      <c r="AJ422" s="34"/>
      <c r="AK422" s="34"/>
      <c r="AL422" s="34"/>
      <c r="AM422" s="34"/>
    </row>
    <row r="423" spans="1:39" ht="12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G423" s="34"/>
      <c r="AH423" s="34"/>
      <c r="AI423" s="34"/>
      <c r="AJ423" s="34"/>
      <c r="AK423" s="34"/>
      <c r="AL423" s="34"/>
      <c r="AM423" s="34"/>
    </row>
    <row r="424" spans="1:39" ht="12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G424" s="34"/>
      <c r="AH424" s="34"/>
      <c r="AI424" s="34"/>
      <c r="AJ424" s="34"/>
      <c r="AK424" s="34"/>
      <c r="AL424" s="34"/>
      <c r="AM424" s="34"/>
    </row>
    <row r="425" spans="1:39" ht="12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G425" s="34"/>
      <c r="AH425" s="34"/>
      <c r="AI425" s="34"/>
      <c r="AJ425" s="34"/>
      <c r="AK425" s="34"/>
      <c r="AL425" s="34"/>
      <c r="AM425" s="34"/>
    </row>
    <row r="426" spans="1:39" ht="12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G426" s="34"/>
      <c r="AH426" s="34"/>
      <c r="AI426" s="34"/>
      <c r="AJ426" s="34"/>
      <c r="AK426" s="34"/>
      <c r="AL426" s="34"/>
      <c r="AM426" s="34"/>
    </row>
    <row r="427" spans="1:39" ht="12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G427" s="34"/>
      <c r="AH427" s="34"/>
      <c r="AI427" s="34"/>
      <c r="AJ427" s="34"/>
      <c r="AK427" s="34"/>
      <c r="AL427" s="34"/>
      <c r="AM427" s="34"/>
    </row>
    <row r="428" spans="1:39" ht="12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G428" s="34"/>
      <c r="AH428" s="34"/>
      <c r="AI428" s="34"/>
      <c r="AJ428" s="34"/>
      <c r="AK428" s="34"/>
      <c r="AL428" s="34"/>
      <c r="AM428" s="34"/>
    </row>
    <row r="429" spans="1:39" ht="12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G429" s="34"/>
      <c r="AH429" s="34"/>
      <c r="AI429" s="34"/>
      <c r="AJ429" s="34"/>
      <c r="AK429" s="34"/>
      <c r="AL429" s="34"/>
      <c r="AM429" s="34"/>
    </row>
    <row r="430" spans="1:39" ht="12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G430" s="34"/>
      <c r="AH430" s="34"/>
      <c r="AI430" s="34"/>
      <c r="AJ430" s="34"/>
      <c r="AK430" s="34"/>
      <c r="AL430" s="34"/>
      <c r="AM430" s="34"/>
    </row>
    <row r="431" spans="1:39" ht="12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G431" s="34"/>
      <c r="AH431" s="34"/>
      <c r="AI431" s="34"/>
      <c r="AJ431" s="34"/>
      <c r="AK431" s="34"/>
      <c r="AL431" s="34"/>
      <c r="AM431" s="34"/>
    </row>
    <row r="432" spans="1:39" ht="12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G432" s="34"/>
      <c r="AH432" s="34"/>
      <c r="AI432" s="34"/>
      <c r="AJ432" s="34"/>
      <c r="AK432" s="34"/>
      <c r="AL432" s="34"/>
      <c r="AM432" s="34"/>
    </row>
    <row r="433" spans="1:39" ht="12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G433" s="34"/>
      <c r="AH433" s="34"/>
      <c r="AI433" s="34"/>
      <c r="AJ433" s="34"/>
      <c r="AK433" s="34"/>
      <c r="AL433" s="34"/>
      <c r="AM433" s="34"/>
    </row>
    <row r="434" spans="1:39" ht="12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G434" s="34"/>
      <c r="AH434" s="34"/>
      <c r="AI434" s="34"/>
      <c r="AJ434" s="34"/>
      <c r="AK434" s="34"/>
      <c r="AL434" s="34"/>
      <c r="AM434" s="34"/>
    </row>
    <row r="435" spans="1:39" ht="12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G435" s="34"/>
      <c r="AH435" s="34"/>
      <c r="AI435" s="34"/>
      <c r="AJ435" s="34"/>
      <c r="AK435" s="34"/>
      <c r="AL435" s="34"/>
      <c r="AM435" s="34"/>
    </row>
    <row r="436" spans="1:39" ht="12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G436" s="34"/>
      <c r="AH436" s="34"/>
      <c r="AI436" s="34"/>
      <c r="AJ436" s="34"/>
      <c r="AK436" s="34"/>
      <c r="AL436" s="34"/>
      <c r="AM436" s="34"/>
    </row>
    <row r="437" spans="1:39" ht="12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G437" s="34"/>
      <c r="AH437" s="34"/>
      <c r="AI437" s="34"/>
      <c r="AJ437" s="34"/>
      <c r="AK437" s="34"/>
      <c r="AL437" s="34"/>
      <c r="AM437" s="34"/>
    </row>
    <row r="438" spans="1:39" ht="12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G438" s="34"/>
      <c r="AH438" s="34"/>
      <c r="AI438" s="34"/>
      <c r="AJ438" s="34"/>
      <c r="AK438" s="34"/>
      <c r="AL438" s="34"/>
      <c r="AM438" s="34"/>
    </row>
    <row r="439" spans="1:39" ht="12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G439" s="34"/>
      <c r="AH439" s="34"/>
      <c r="AI439" s="34"/>
      <c r="AJ439" s="34"/>
      <c r="AK439" s="34"/>
      <c r="AL439" s="34"/>
      <c r="AM439" s="34"/>
    </row>
    <row r="440" spans="1:39" ht="12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G440" s="34"/>
      <c r="AH440" s="34"/>
      <c r="AI440" s="34"/>
      <c r="AJ440" s="34"/>
      <c r="AK440" s="34"/>
      <c r="AL440" s="34"/>
      <c r="AM440" s="34"/>
    </row>
    <row r="441" spans="1:39" ht="12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G441" s="34"/>
      <c r="AH441" s="34"/>
      <c r="AI441" s="34"/>
      <c r="AJ441" s="34"/>
      <c r="AK441" s="34"/>
      <c r="AL441" s="34"/>
      <c r="AM441" s="34"/>
    </row>
    <row r="442" spans="1:39" ht="12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G442" s="34"/>
      <c r="AH442" s="34"/>
      <c r="AI442" s="34"/>
      <c r="AJ442" s="34"/>
      <c r="AK442" s="34"/>
      <c r="AL442" s="34"/>
      <c r="AM442" s="34"/>
    </row>
    <row r="443" spans="1:39" ht="12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G443" s="34"/>
      <c r="AH443" s="34"/>
      <c r="AI443" s="34"/>
      <c r="AJ443" s="34"/>
      <c r="AK443" s="34"/>
      <c r="AL443" s="34"/>
      <c r="AM443" s="34"/>
    </row>
    <row r="444" spans="1:39" ht="12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G444" s="34"/>
      <c r="AH444" s="34"/>
      <c r="AI444" s="34"/>
      <c r="AJ444" s="34"/>
      <c r="AK444" s="34"/>
      <c r="AL444" s="34"/>
      <c r="AM444" s="34"/>
    </row>
    <row r="445" spans="1:39" ht="12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G445" s="34"/>
      <c r="AH445" s="34"/>
      <c r="AI445" s="34"/>
      <c r="AJ445" s="34"/>
      <c r="AK445" s="34"/>
      <c r="AL445" s="34"/>
      <c r="AM445" s="34"/>
    </row>
    <row r="446" spans="1:39" ht="12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G446" s="34"/>
      <c r="AH446" s="34"/>
      <c r="AI446" s="34"/>
      <c r="AJ446" s="34"/>
      <c r="AK446" s="34"/>
      <c r="AL446" s="34"/>
      <c r="AM446" s="34"/>
    </row>
    <row r="447" spans="1:39" ht="12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G447" s="34"/>
      <c r="AH447" s="34"/>
      <c r="AI447" s="34"/>
      <c r="AJ447" s="34"/>
      <c r="AK447" s="34"/>
      <c r="AL447" s="34"/>
      <c r="AM447" s="34"/>
    </row>
    <row r="448" spans="1:39" ht="12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G448" s="34"/>
      <c r="AH448" s="34"/>
      <c r="AI448" s="34"/>
      <c r="AJ448" s="34"/>
      <c r="AK448" s="34"/>
      <c r="AL448" s="34"/>
      <c r="AM448" s="34"/>
    </row>
    <row r="449" spans="1:39" ht="12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G449" s="34"/>
      <c r="AH449" s="34"/>
      <c r="AI449" s="34"/>
      <c r="AJ449" s="34"/>
      <c r="AK449" s="34"/>
      <c r="AL449" s="34"/>
      <c r="AM449" s="34"/>
    </row>
    <row r="450" spans="1:39" ht="12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G450" s="34"/>
      <c r="AH450" s="34"/>
      <c r="AI450" s="34"/>
      <c r="AJ450" s="34"/>
      <c r="AK450" s="34"/>
      <c r="AL450" s="34"/>
      <c r="AM450" s="34"/>
    </row>
    <row r="451" spans="1:39" ht="12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G451" s="34"/>
      <c r="AH451" s="34"/>
      <c r="AI451" s="34"/>
      <c r="AJ451" s="34"/>
      <c r="AK451" s="34"/>
      <c r="AL451" s="34"/>
      <c r="AM451" s="34"/>
    </row>
    <row r="452" spans="1:39" ht="12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G452" s="34"/>
      <c r="AH452" s="34"/>
      <c r="AI452" s="34"/>
      <c r="AJ452" s="34"/>
      <c r="AK452" s="34"/>
      <c r="AL452" s="34"/>
      <c r="AM452" s="34"/>
    </row>
    <row r="453" spans="1:39" ht="12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G453" s="34"/>
      <c r="AH453" s="34"/>
      <c r="AI453" s="34"/>
      <c r="AJ453" s="34"/>
      <c r="AK453" s="34"/>
      <c r="AL453" s="34"/>
      <c r="AM453" s="34"/>
    </row>
    <row r="454" spans="1:39" ht="12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G454" s="34"/>
      <c r="AH454" s="34"/>
      <c r="AI454" s="34"/>
      <c r="AJ454" s="34"/>
      <c r="AK454" s="34"/>
      <c r="AL454" s="34"/>
      <c r="AM454" s="34"/>
    </row>
    <row r="455" spans="1:39" ht="12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G455" s="34"/>
      <c r="AH455" s="34"/>
      <c r="AI455" s="34"/>
      <c r="AJ455" s="34"/>
      <c r="AK455" s="34"/>
      <c r="AL455" s="34"/>
      <c r="AM455" s="34"/>
    </row>
    <row r="456" spans="1:39" ht="12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G456" s="34"/>
      <c r="AH456" s="34"/>
      <c r="AI456" s="34"/>
      <c r="AJ456" s="34"/>
      <c r="AK456" s="34"/>
      <c r="AL456" s="34"/>
      <c r="AM456" s="34"/>
    </row>
    <row r="457" spans="1:39" ht="12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G457" s="34"/>
      <c r="AH457" s="34"/>
      <c r="AI457" s="34"/>
      <c r="AJ457" s="34"/>
      <c r="AK457" s="34"/>
      <c r="AL457" s="34"/>
      <c r="AM457" s="34"/>
    </row>
    <row r="458" spans="1:39" ht="12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G458" s="34"/>
      <c r="AH458" s="34"/>
      <c r="AI458" s="34"/>
      <c r="AJ458" s="34"/>
      <c r="AK458" s="34"/>
      <c r="AL458" s="34"/>
      <c r="AM458" s="34"/>
    </row>
    <row r="459" spans="1:39" ht="12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G459" s="34"/>
      <c r="AH459" s="34"/>
      <c r="AI459" s="34"/>
      <c r="AJ459" s="34"/>
      <c r="AK459" s="34"/>
      <c r="AL459" s="34"/>
      <c r="AM459" s="34"/>
    </row>
    <row r="460" spans="1:39" ht="12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G460" s="34"/>
      <c r="AH460" s="34"/>
      <c r="AI460" s="34"/>
      <c r="AJ460" s="34"/>
      <c r="AK460" s="34"/>
      <c r="AL460" s="34"/>
      <c r="AM460" s="34"/>
    </row>
    <row r="461" spans="1:39" ht="12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G461" s="34"/>
      <c r="AH461" s="34"/>
      <c r="AI461" s="34"/>
      <c r="AJ461" s="34"/>
      <c r="AK461" s="34"/>
      <c r="AL461" s="34"/>
      <c r="AM461" s="34"/>
    </row>
    <row r="462" spans="1:39" ht="12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G462" s="34"/>
      <c r="AH462" s="34"/>
      <c r="AI462" s="34"/>
      <c r="AJ462" s="34"/>
      <c r="AK462" s="34"/>
      <c r="AL462" s="34"/>
      <c r="AM462" s="34"/>
    </row>
    <row r="463" spans="1:39" ht="12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G463" s="34"/>
      <c r="AH463" s="34"/>
      <c r="AI463" s="34"/>
      <c r="AJ463" s="34"/>
      <c r="AK463" s="34"/>
      <c r="AL463" s="34"/>
      <c r="AM463" s="34"/>
    </row>
    <row r="464" spans="1:39" ht="12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G464" s="34"/>
      <c r="AH464" s="34"/>
      <c r="AI464" s="34"/>
      <c r="AJ464" s="34"/>
      <c r="AK464" s="34"/>
      <c r="AL464" s="34"/>
      <c r="AM464" s="34"/>
    </row>
    <row r="465" spans="1:39" ht="12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G465" s="34"/>
      <c r="AH465" s="34"/>
      <c r="AI465" s="34"/>
      <c r="AJ465" s="34"/>
      <c r="AK465" s="34"/>
      <c r="AL465" s="34"/>
      <c r="AM465" s="34"/>
    </row>
    <row r="466" spans="1:39" ht="12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G466" s="34"/>
      <c r="AH466" s="34"/>
      <c r="AI466" s="34"/>
      <c r="AJ466" s="34"/>
      <c r="AK466" s="34"/>
      <c r="AL466" s="34"/>
      <c r="AM466" s="34"/>
    </row>
    <row r="467" spans="1:39" ht="12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G467" s="34"/>
      <c r="AH467" s="34"/>
      <c r="AI467" s="34"/>
      <c r="AJ467" s="34"/>
      <c r="AK467" s="34"/>
      <c r="AL467" s="34"/>
      <c r="AM467" s="34"/>
    </row>
    <row r="468" spans="1:39" ht="12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G468" s="34"/>
      <c r="AH468" s="34"/>
      <c r="AI468" s="34"/>
      <c r="AJ468" s="34"/>
      <c r="AK468" s="34"/>
      <c r="AL468" s="34"/>
      <c r="AM468" s="34"/>
    </row>
    <row r="469" spans="1:39" ht="12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G469" s="34"/>
      <c r="AH469" s="34"/>
      <c r="AI469" s="34"/>
      <c r="AJ469" s="34"/>
      <c r="AK469" s="34"/>
      <c r="AL469" s="34"/>
      <c r="AM469" s="34"/>
    </row>
    <row r="470" spans="1:39" ht="12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G470" s="34"/>
      <c r="AH470" s="34"/>
      <c r="AI470" s="34"/>
      <c r="AJ470" s="34"/>
      <c r="AK470" s="34"/>
      <c r="AL470" s="34"/>
      <c r="AM470" s="34"/>
    </row>
    <row r="471" spans="1:39" ht="12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G471" s="34"/>
      <c r="AH471" s="34"/>
      <c r="AI471" s="34"/>
      <c r="AJ471" s="34"/>
      <c r="AK471" s="34"/>
      <c r="AL471" s="34"/>
      <c r="AM471" s="34"/>
    </row>
    <row r="472" spans="1:39" ht="12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G472" s="34"/>
      <c r="AH472" s="34"/>
      <c r="AI472" s="34"/>
      <c r="AJ472" s="34"/>
      <c r="AK472" s="34"/>
      <c r="AL472" s="34"/>
      <c r="AM472" s="34"/>
    </row>
    <row r="473" spans="1:39" ht="12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G473" s="34"/>
      <c r="AH473" s="34"/>
      <c r="AI473" s="34"/>
      <c r="AJ473" s="34"/>
      <c r="AK473" s="34"/>
      <c r="AL473" s="34"/>
      <c r="AM473" s="34"/>
    </row>
    <row r="474" spans="1:39" ht="12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G474" s="34"/>
      <c r="AH474" s="34"/>
      <c r="AI474" s="34"/>
      <c r="AJ474" s="34"/>
      <c r="AK474" s="34"/>
      <c r="AL474" s="34"/>
      <c r="AM474" s="34"/>
    </row>
    <row r="475" spans="1:39" ht="12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G475" s="34"/>
      <c r="AH475" s="34"/>
      <c r="AI475" s="34"/>
      <c r="AJ475" s="34"/>
      <c r="AK475" s="34"/>
      <c r="AL475" s="34"/>
      <c r="AM475" s="34"/>
    </row>
    <row r="476" spans="1:39" ht="12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G476" s="34"/>
      <c r="AH476" s="34"/>
      <c r="AI476" s="34"/>
      <c r="AJ476" s="34"/>
      <c r="AK476" s="34"/>
      <c r="AL476" s="34"/>
      <c r="AM476" s="34"/>
    </row>
    <row r="477" spans="1:39" ht="12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G477" s="34"/>
      <c r="AH477" s="34"/>
      <c r="AI477" s="34"/>
      <c r="AJ477" s="34"/>
      <c r="AK477" s="34"/>
      <c r="AL477" s="34"/>
      <c r="AM477" s="34"/>
    </row>
    <row r="478" spans="1:39" ht="12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G478" s="34"/>
      <c r="AH478" s="34"/>
      <c r="AI478" s="34"/>
      <c r="AJ478" s="34"/>
      <c r="AK478" s="34"/>
      <c r="AL478" s="34"/>
      <c r="AM478" s="34"/>
    </row>
    <row r="479" spans="1:39" ht="12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G479" s="34"/>
      <c r="AH479" s="34"/>
      <c r="AI479" s="34"/>
      <c r="AJ479" s="34"/>
      <c r="AK479" s="34"/>
      <c r="AL479" s="34"/>
      <c r="AM479" s="34"/>
    </row>
    <row r="480" spans="1:39" ht="12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G480" s="34"/>
      <c r="AH480" s="34"/>
      <c r="AI480" s="34"/>
      <c r="AJ480" s="34"/>
      <c r="AK480" s="34"/>
      <c r="AL480" s="34"/>
      <c r="AM480" s="34"/>
    </row>
    <row r="481" spans="1:39" ht="12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G481" s="34"/>
      <c r="AH481" s="34"/>
      <c r="AI481" s="34"/>
      <c r="AJ481" s="34"/>
      <c r="AK481" s="34"/>
      <c r="AL481" s="34"/>
      <c r="AM481" s="34"/>
    </row>
    <row r="482" spans="1:39" ht="12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G482" s="34"/>
      <c r="AH482" s="34"/>
      <c r="AI482" s="34"/>
      <c r="AJ482" s="34"/>
      <c r="AK482" s="34"/>
      <c r="AL482" s="34"/>
      <c r="AM482" s="34"/>
    </row>
    <row r="483" spans="1:39" ht="12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G483" s="34"/>
      <c r="AH483" s="34"/>
      <c r="AI483" s="34"/>
      <c r="AJ483" s="34"/>
      <c r="AK483" s="34"/>
      <c r="AL483" s="34"/>
      <c r="AM483" s="34"/>
    </row>
    <row r="484" spans="1:39" ht="12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G484" s="34"/>
      <c r="AH484" s="34"/>
      <c r="AI484" s="34"/>
      <c r="AJ484" s="34"/>
      <c r="AK484" s="34"/>
      <c r="AL484" s="34"/>
      <c r="AM484" s="34"/>
    </row>
    <row r="485" spans="1:39" ht="12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G485" s="34"/>
      <c r="AH485" s="34"/>
      <c r="AI485" s="34"/>
      <c r="AJ485" s="34"/>
      <c r="AK485" s="34"/>
      <c r="AL485" s="34"/>
      <c r="AM485" s="34"/>
    </row>
    <row r="486" spans="1:39" ht="12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G486" s="34"/>
      <c r="AH486" s="34"/>
      <c r="AI486" s="34"/>
      <c r="AJ486" s="34"/>
      <c r="AK486" s="34"/>
      <c r="AL486" s="34"/>
      <c r="AM486" s="34"/>
    </row>
    <row r="487" spans="1:39" ht="12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G487" s="34"/>
      <c r="AH487" s="34"/>
      <c r="AI487" s="34"/>
      <c r="AJ487" s="34"/>
      <c r="AK487" s="34"/>
      <c r="AL487" s="34"/>
      <c r="AM487" s="34"/>
    </row>
    <row r="488" spans="1:39" ht="12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G488" s="34"/>
      <c r="AH488" s="34"/>
      <c r="AI488" s="34"/>
      <c r="AJ488" s="34"/>
      <c r="AK488" s="34"/>
      <c r="AL488" s="34"/>
      <c r="AM488" s="34"/>
    </row>
    <row r="489" spans="1:39" ht="12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G489" s="34"/>
      <c r="AH489" s="34"/>
      <c r="AI489" s="34"/>
      <c r="AJ489" s="34"/>
      <c r="AK489" s="34"/>
      <c r="AL489" s="34"/>
      <c r="AM489" s="34"/>
    </row>
    <row r="490" spans="1:39" ht="12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G490" s="34"/>
      <c r="AH490" s="34"/>
      <c r="AI490" s="34"/>
      <c r="AJ490" s="34"/>
      <c r="AK490" s="34"/>
      <c r="AL490" s="34"/>
      <c r="AM490" s="34"/>
    </row>
    <row r="491" spans="1:39" ht="12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G491" s="34"/>
      <c r="AH491" s="34"/>
      <c r="AI491" s="34"/>
      <c r="AJ491" s="34"/>
      <c r="AK491" s="34"/>
      <c r="AL491" s="34"/>
      <c r="AM491" s="34"/>
    </row>
    <row r="492" spans="1:39" ht="12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G492" s="34"/>
      <c r="AH492" s="34"/>
      <c r="AI492" s="34"/>
      <c r="AJ492" s="34"/>
      <c r="AK492" s="34"/>
      <c r="AL492" s="34"/>
      <c r="AM492" s="34"/>
    </row>
    <row r="493" spans="1:39" ht="12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G493" s="34"/>
      <c r="AH493" s="34"/>
      <c r="AI493" s="34"/>
      <c r="AJ493" s="34"/>
      <c r="AK493" s="34"/>
      <c r="AL493" s="34"/>
      <c r="AM493" s="34"/>
    </row>
    <row r="494" spans="1:39" ht="12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G494" s="34"/>
      <c r="AH494" s="34"/>
      <c r="AI494" s="34"/>
      <c r="AJ494" s="34"/>
      <c r="AK494" s="34"/>
      <c r="AL494" s="34"/>
      <c r="AM494" s="34"/>
    </row>
    <row r="495" spans="1:39" ht="12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G495" s="34"/>
      <c r="AH495" s="34"/>
      <c r="AI495" s="34"/>
      <c r="AJ495" s="34"/>
      <c r="AK495" s="34"/>
      <c r="AL495" s="34"/>
      <c r="AM495" s="34"/>
    </row>
    <row r="496" spans="1:39" ht="12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G496" s="34"/>
      <c r="AH496" s="34"/>
      <c r="AI496" s="34"/>
      <c r="AJ496" s="34"/>
      <c r="AK496" s="34"/>
      <c r="AL496" s="34"/>
      <c r="AM496" s="34"/>
    </row>
    <row r="497" spans="1:39" ht="12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G497" s="34"/>
      <c r="AH497" s="34"/>
      <c r="AI497" s="34"/>
      <c r="AJ497" s="34"/>
      <c r="AK497" s="34"/>
      <c r="AL497" s="34"/>
      <c r="AM497" s="34"/>
    </row>
    <row r="498" spans="1:39" ht="12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G498" s="34"/>
      <c r="AH498" s="34"/>
      <c r="AI498" s="34"/>
      <c r="AJ498" s="34"/>
      <c r="AK498" s="34"/>
      <c r="AL498" s="34"/>
      <c r="AM498" s="34"/>
    </row>
    <row r="499" spans="1:39" ht="12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G499" s="34"/>
      <c r="AH499" s="34"/>
      <c r="AI499" s="34"/>
      <c r="AJ499" s="34"/>
      <c r="AK499" s="34"/>
      <c r="AL499" s="34"/>
      <c r="AM499" s="34"/>
    </row>
    <row r="500" spans="1:39" ht="12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G500" s="34"/>
      <c r="AH500" s="34"/>
      <c r="AI500" s="34"/>
      <c r="AJ500" s="34"/>
      <c r="AK500" s="34"/>
      <c r="AL500" s="34"/>
      <c r="AM500" s="34"/>
    </row>
    <row r="501" spans="1:39" ht="12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G501" s="34"/>
      <c r="AH501" s="34"/>
      <c r="AI501" s="34"/>
      <c r="AJ501" s="34"/>
      <c r="AK501" s="34"/>
      <c r="AL501" s="34"/>
      <c r="AM501" s="34"/>
    </row>
    <row r="502" spans="1:39" ht="12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G502" s="34"/>
      <c r="AH502" s="34"/>
      <c r="AI502" s="34"/>
      <c r="AJ502" s="34"/>
      <c r="AK502" s="34"/>
      <c r="AL502" s="34"/>
      <c r="AM502" s="34"/>
    </row>
    <row r="503" spans="1:39" ht="12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G503" s="34"/>
      <c r="AH503" s="34"/>
      <c r="AI503" s="34"/>
      <c r="AJ503" s="34"/>
      <c r="AK503" s="34"/>
      <c r="AL503" s="34"/>
      <c r="AM503" s="34"/>
    </row>
    <row r="504" spans="1:39" ht="12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G504" s="34"/>
      <c r="AH504" s="34"/>
      <c r="AI504" s="34"/>
      <c r="AJ504" s="34"/>
      <c r="AK504" s="34"/>
      <c r="AL504" s="34"/>
      <c r="AM504" s="34"/>
    </row>
    <row r="505" spans="1:39" ht="12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G505" s="34"/>
      <c r="AH505" s="34"/>
      <c r="AI505" s="34"/>
      <c r="AJ505" s="34"/>
      <c r="AK505" s="34"/>
      <c r="AL505" s="34"/>
      <c r="AM505" s="34"/>
    </row>
    <row r="506" spans="1:39" ht="12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G506" s="34"/>
      <c r="AH506" s="34"/>
      <c r="AI506" s="34"/>
      <c r="AJ506" s="34"/>
      <c r="AK506" s="34"/>
      <c r="AL506" s="34"/>
      <c r="AM506" s="34"/>
    </row>
    <row r="507" spans="1:39" ht="12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G507" s="34"/>
      <c r="AH507" s="34"/>
      <c r="AI507" s="34"/>
      <c r="AJ507" s="34"/>
      <c r="AK507" s="34"/>
      <c r="AL507" s="34"/>
      <c r="AM507" s="34"/>
    </row>
    <row r="508" spans="1:39" ht="12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G508" s="34"/>
      <c r="AH508" s="34"/>
      <c r="AI508" s="34"/>
      <c r="AJ508" s="34"/>
      <c r="AK508" s="34"/>
      <c r="AL508" s="34"/>
      <c r="AM508" s="34"/>
    </row>
    <row r="509" spans="1:39" ht="12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G509" s="34"/>
      <c r="AH509" s="34"/>
      <c r="AI509" s="34"/>
      <c r="AJ509" s="34"/>
      <c r="AK509" s="34"/>
      <c r="AL509" s="34"/>
      <c r="AM509" s="34"/>
    </row>
    <row r="510" spans="1:39" ht="12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G510" s="34"/>
      <c r="AH510" s="34"/>
      <c r="AI510" s="34"/>
      <c r="AJ510" s="34"/>
      <c r="AK510" s="34"/>
      <c r="AL510" s="34"/>
      <c r="AM510" s="34"/>
    </row>
    <row r="511" spans="1:39" ht="12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G511" s="34"/>
      <c r="AH511" s="34"/>
      <c r="AI511" s="34"/>
      <c r="AJ511" s="34"/>
      <c r="AK511" s="34"/>
      <c r="AL511" s="34"/>
      <c r="AM511" s="34"/>
    </row>
    <row r="512" spans="1:39" ht="12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G512" s="34"/>
      <c r="AH512" s="34"/>
      <c r="AI512" s="34"/>
      <c r="AJ512" s="34"/>
      <c r="AK512" s="34"/>
      <c r="AL512" s="34"/>
      <c r="AM512" s="34"/>
    </row>
    <row r="513" spans="1:39" ht="12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G513" s="34"/>
      <c r="AH513" s="34"/>
      <c r="AI513" s="34"/>
      <c r="AJ513" s="34"/>
      <c r="AK513" s="34"/>
      <c r="AL513" s="34"/>
      <c r="AM513" s="34"/>
    </row>
    <row r="514" spans="1:39" ht="12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G514" s="34"/>
      <c r="AH514" s="34"/>
      <c r="AI514" s="34"/>
      <c r="AJ514" s="34"/>
      <c r="AK514" s="34"/>
      <c r="AL514" s="34"/>
      <c r="AM514" s="34"/>
    </row>
    <row r="515" spans="1:39" ht="12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G515" s="34"/>
      <c r="AH515" s="34"/>
      <c r="AI515" s="34"/>
      <c r="AJ515" s="34"/>
      <c r="AK515" s="34"/>
      <c r="AL515" s="34"/>
      <c r="AM515" s="34"/>
    </row>
    <row r="516" spans="1:39" ht="12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G516" s="34"/>
      <c r="AH516" s="34"/>
      <c r="AI516" s="34"/>
      <c r="AJ516" s="34"/>
      <c r="AK516" s="34"/>
      <c r="AL516" s="34"/>
      <c r="AM516" s="34"/>
    </row>
    <row r="517" spans="1:39" ht="12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G517" s="34"/>
      <c r="AH517" s="34"/>
      <c r="AI517" s="34"/>
      <c r="AJ517" s="34"/>
      <c r="AK517" s="34"/>
      <c r="AL517" s="34"/>
      <c r="AM517" s="34"/>
    </row>
    <row r="518" spans="1:39" ht="12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G518" s="34"/>
      <c r="AH518" s="34"/>
      <c r="AI518" s="34"/>
      <c r="AJ518" s="34"/>
      <c r="AK518" s="34"/>
      <c r="AL518" s="34"/>
      <c r="AM518" s="34"/>
    </row>
    <row r="519" spans="1:39" ht="12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G519" s="34"/>
      <c r="AH519" s="34"/>
      <c r="AI519" s="34"/>
      <c r="AJ519" s="34"/>
      <c r="AK519" s="34"/>
      <c r="AL519" s="34"/>
      <c r="AM519" s="34"/>
    </row>
    <row r="520" spans="1:39" ht="12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G520" s="34"/>
      <c r="AH520" s="34"/>
      <c r="AI520" s="34"/>
      <c r="AJ520" s="34"/>
      <c r="AK520" s="34"/>
      <c r="AL520" s="34"/>
      <c r="AM520" s="34"/>
    </row>
    <row r="521" spans="1:39" ht="12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G521" s="34"/>
      <c r="AH521" s="34"/>
      <c r="AI521" s="34"/>
      <c r="AJ521" s="34"/>
      <c r="AK521" s="34"/>
      <c r="AL521" s="34"/>
      <c r="AM521" s="34"/>
    </row>
    <row r="522" spans="1:39" ht="12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G522" s="34"/>
      <c r="AH522" s="34"/>
      <c r="AI522" s="34"/>
      <c r="AJ522" s="34"/>
      <c r="AK522" s="34"/>
      <c r="AL522" s="34"/>
      <c r="AM522" s="34"/>
    </row>
    <row r="523" spans="1:39" ht="12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G523" s="34"/>
      <c r="AH523" s="34"/>
      <c r="AI523" s="34"/>
      <c r="AJ523" s="34"/>
      <c r="AK523" s="34"/>
      <c r="AL523" s="34"/>
      <c r="AM523" s="34"/>
    </row>
    <row r="524" spans="1:39" ht="12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G524" s="34"/>
      <c r="AH524" s="34"/>
      <c r="AI524" s="34"/>
      <c r="AJ524" s="34"/>
      <c r="AK524" s="34"/>
      <c r="AL524" s="34"/>
      <c r="AM524" s="34"/>
    </row>
    <row r="525" spans="1:39" ht="12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G525" s="34"/>
      <c r="AH525" s="34"/>
      <c r="AI525" s="34"/>
      <c r="AJ525" s="34"/>
      <c r="AK525" s="34"/>
      <c r="AL525" s="34"/>
      <c r="AM525" s="34"/>
    </row>
    <row r="526" spans="1:39" ht="12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G526" s="34"/>
      <c r="AH526" s="34"/>
      <c r="AI526" s="34"/>
      <c r="AJ526" s="34"/>
      <c r="AK526" s="34"/>
      <c r="AL526" s="34"/>
      <c r="AM526" s="34"/>
    </row>
    <row r="527" spans="1:39" ht="12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G527" s="34"/>
      <c r="AH527" s="34"/>
      <c r="AI527" s="34"/>
      <c r="AJ527" s="34"/>
      <c r="AK527" s="34"/>
      <c r="AL527" s="34"/>
      <c r="AM527" s="34"/>
    </row>
    <row r="528" spans="1:39" ht="12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G528" s="34"/>
      <c r="AH528" s="34"/>
      <c r="AI528" s="34"/>
      <c r="AJ528" s="34"/>
      <c r="AK528" s="34"/>
      <c r="AL528" s="34"/>
      <c r="AM528" s="34"/>
    </row>
    <row r="529" spans="1:39" ht="12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G529" s="34"/>
      <c r="AH529" s="34"/>
      <c r="AI529" s="34"/>
      <c r="AJ529" s="34"/>
      <c r="AK529" s="34"/>
      <c r="AL529" s="34"/>
      <c r="AM529" s="34"/>
    </row>
    <row r="530" spans="1:39" ht="12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G530" s="34"/>
      <c r="AH530" s="34"/>
      <c r="AI530" s="34"/>
      <c r="AJ530" s="34"/>
      <c r="AK530" s="34"/>
      <c r="AL530" s="34"/>
      <c r="AM530" s="34"/>
    </row>
    <row r="531" spans="1:39" ht="12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G531" s="34"/>
      <c r="AH531" s="34"/>
      <c r="AI531" s="34"/>
      <c r="AJ531" s="34"/>
      <c r="AK531" s="34"/>
      <c r="AL531" s="34"/>
      <c r="AM531" s="34"/>
    </row>
    <row r="532" spans="1:39" ht="12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G532" s="34"/>
      <c r="AH532" s="34"/>
      <c r="AI532" s="34"/>
      <c r="AJ532" s="34"/>
      <c r="AK532" s="34"/>
      <c r="AL532" s="34"/>
      <c r="AM532" s="34"/>
    </row>
    <row r="533" spans="1:39" ht="12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G533" s="34"/>
      <c r="AH533" s="34"/>
      <c r="AI533" s="34"/>
      <c r="AJ533" s="34"/>
      <c r="AK533" s="34"/>
      <c r="AL533" s="34"/>
      <c r="AM533" s="34"/>
    </row>
    <row r="534" spans="1:39" ht="12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G534" s="34"/>
      <c r="AH534" s="34"/>
      <c r="AI534" s="34"/>
      <c r="AJ534" s="34"/>
      <c r="AK534" s="34"/>
      <c r="AL534" s="34"/>
      <c r="AM534" s="34"/>
    </row>
    <row r="535" spans="1:39" ht="12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G535" s="34"/>
      <c r="AH535" s="34"/>
      <c r="AI535" s="34"/>
      <c r="AJ535" s="34"/>
      <c r="AK535" s="34"/>
      <c r="AL535" s="34"/>
      <c r="AM535" s="34"/>
    </row>
    <row r="536" spans="1:39" ht="12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G536" s="34"/>
      <c r="AH536" s="34"/>
      <c r="AI536" s="34"/>
      <c r="AJ536" s="34"/>
      <c r="AK536" s="34"/>
      <c r="AL536" s="34"/>
      <c r="AM536" s="34"/>
    </row>
    <row r="537" spans="1:39" ht="12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G537" s="34"/>
      <c r="AH537" s="34"/>
      <c r="AI537" s="34"/>
      <c r="AJ537" s="34"/>
      <c r="AK537" s="34"/>
      <c r="AL537" s="34"/>
      <c r="AM537" s="34"/>
    </row>
    <row r="538" spans="1:39" ht="12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G538" s="34"/>
      <c r="AH538" s="34"/>
      <c r="AI538" s="34"/>
      <c r="AJ538" s="34"/>
      <c r="AK538" s="34"/>
      <c r="AL538" s="34"/>
      <c r="AM538" s="34"/>
    </row>
    <row r="539" spans="1:39" ht="12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G539" s="34"/>
      <c r="AH539" s="34"/>
      <c r="AI539" s="34"/>
      <c r="AJ539" s="34"/>
      <c r="AK539" s="34"/>
      <c r="AL539" s="34"/>
      <c r="AM539" s="34"/>
    </row>
    <row r="540" spans="1:39" ht="12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G540" s="34"/>
      <c r="AH540" s="34"/>
      <c r="AI540" s="34"/>
      <c r="AJ540" s="34"/>
      <c r="AK540" s="34"/>
      <c r="AL540" s="34"/>
      <c r="AM540" s="34"/>
    </row>
    <row r="541" spans="1:39" ht="12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G541" s="34"/>
      <c r="AH541" s="34"/>
      <c r="AI541" s="34"/>
      <c r="AJ541" s="34"/>
      <c r="AK541" s="34"/>
      <c r="AL541" s="34"/>
      <c r="AM541" s="34"/>
    </row>
    <row r="542" spans="1:39" ht="12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G542" s="34"/>
      <c r="AH542" s="34"/>
      <c r="AI542" s="34"/>
      <c r="AJ542" s="34"/>
      <c r="AK542" s="34"/>
      <c r="AL542" s="34"/>
      <c r="AM542" s="34"/>
    </row>
    <row r="543" spans="1:39" ht="12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G543" s="34"/>
      <c r="AH543" s="34"/>
      <c r="AI543" s="34"/>
      <c r="AJ543" s="34"/>
      <c r="AK543" s="34"/>
      <c r="AL543" s="34"/>
      <c r="AM543" s="34"/>
    </row>
    <row r="544" spans="1:39" ht="12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G544" s="34"/>
      <c r="AH544" s="34"/>
      <c r="AI544" s="34"/>
      <c r="AJ544" s="34"/>
      <c r="AK544" s="34"/>
      <c r="AL544" s="34"/>
      <c r="AM544" s="34"/>
    </row>
    <row r="545" spans="1:39" ht="12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G545" s="34"/>
      <c r="AH545" s="34"/>
      <c r="AI545" s="34"/>
      <c r="AJ545" s="34"/>
      <c r="AK545" s="34"/>
      <c r="AL545" s="34"/>
      <c r="AM545" s="34"/>
    </row>
    <row r="546" spans="1:39" ht="12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G546" s="34"/>
      <c r="AH546" s="34"/>
      <c r="AI546" s="34"/>
      <c r="AJ546" s="34"/>
      <c r="AK546" s="34"/>
      <c r="AL546" s="34"/>
      <c r="AM546" s="34"/>
    </row>
    <row r="547" spans="1:39" ht="12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G547" s="34"/>
      <c r="AH547" s="34"/>
      <c r="AI547" s="34"/>
      <c r="AJ547" s="34"/>
      <c r="AK547" s="34"/>
      <c r="AL547" s="34"/>
      <c r="AM547" s="34"/>
    </row>
    <row r="548" spans="1:39" ht="12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G548" s="34"/>
      <c r="AH548" s="34"/>
      <c r="AI548" s="34"/>
      <c r="AJ548" s="34"/>
      <c r="AK548" s="34"/>
      <c r="AL548" s="34"/>
      <c r="AM548" s="34"/>
    </row>
    <row r="549" spans="1:39" ht="12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G549" s="34"/>
      <c r="AH549" s="34"/>
      <c r="AI549" s="34"/>
      <c r="AJ549" s="34"/>
      <c r="AK549" s="34"/>
      <c r="AL549" s="34"/>
      <c r="AM549" s="34"/>
    </row>
    <row r="550" spans="1:39" ht="12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G550" s="34"/>
      <c r="AH550" s="34"/>
      <c r="AI550" s="34"/>
      <c r="AJ550" s="34"/>
      <c r="AK550" s="34"/>
      <c r="AL550" s="34"/>
      <c r="AM550" s="34"/>
    </row>
    <row r="551" spans="1:39" ht="12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G551" s="34"/>
      <c r="AH551" s="34"/>
      <c r="AI551" s="34"/>
      <c r="AJ551" s="34"/>
      <c r="AK551" s="34"/>
      <c r="AL551" s="34"/>
      <c r="AM551" s="34"/>
    </row>
    <row r="552" spans="1:39" ht="12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G552" s="34"/>
      <c r="AH552" s="34"/>
      <c r="AI552" s="34"/>
      <c r="AJ552" s="34"/>
      <c r="AK552" s="34"/>
      <c r="AL552" s="34"/>
      <c r="AM552" s="34"/>
    </row>
    <row r="553" spans="1:39" ht="12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G553" s="34"/>
      <c r="AH553" s="34"/>
      <c r="AI553" s="34"/>
      <c r="AJ553" s="34"/>
      <c r="AK553" s="34"/>
      <c r="AL553" s="34"/>
      <c r="AM553" s="34"/>
    </row>
    <row r="554" spans="1:39" ht="12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G554" s="34"/>
      <c r="AH554" s="34"/>
      <c r="AI554" s="34"/>
      <c r="AJ554" s="34"/>
      <c r="AK554" s="34"/>
      <c r="AL554" s="34"/>
      <c r="AM554" s="34"/>
    </row>
    <row r="555" spans="1:39" ht="12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G555" s="34"/>
      <c r="AH555" s="34"/>
      <c r="AI555" s="34"/>
      <c r="AJ555" s="34"/>
      <c r="AK555" s="34"/>
      <c r="AL555" s="34"/>
      <c r="AM555" s="34"/>
    </row>
    <row r="556" spans="1:39" ht="12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G556" s="34"/>
      <c r="AH556" s="34"/>
      <c r="AI556" s="34"/>
      <c r="AJ556" s="34"/>
      <c r="AK556" s="34"/>
      <c r="AL556" s="34"/>
      <c r="AM556" s="34"/>
    </row>
    <row r="557" spans="1:39" ht="12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G557" s="34"/>
      <c r="AH557" s="34"/>
      <c r="AI557" s="34"/>
      <c r="AJ557" s="34"/>
      <c r="AK557" s="34"/>
      <c r="AL557" s="34"/>
      <c r="AM557" s="34"/>
    </row>
    <row r="558" spans="1:39" ht="12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G558" s="34"/>
      <c r="AH558" s="34"/>
      <c r="AI558" s="34"/>
      <c r="AJ558" s="34"/>
      <c r="AK558" s="34"/>
      <c r="AL558" s="34"/>
      <c r="AM558" s="34"/>
    </row>
    <row r="559" spans="1:39" ht="12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G559" s="34"/>
      <c r="AH559" s="34"/>
      <c r="AI559" s="34"/>
      <c r="AJ559" s="34"/>
      <c r="AK559" s="34"/>
      <c r="AL559" s="34"/>
      <c r="AM559" s="34"/>
    </row>
    <row r="560" spans="1:39" ht="12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G560" s="34"/>
      <c r="AH560" s="34"/>
      <c r="AI560" s="34"/>
      <c r="AJ560" s="34"/>
      <c r="AK560" s="34"/>
      <c r="AL560" s="34"/>
      <c r="AM560" s="34"/>
    </row>
    <row r="561" spans="1:39" ht="12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G561" s="34"/>
      <c r="AH561" s="34"/>
      <c r="AI561" s="34"/>
      <c r="AJ561" s="34"/>
      <c r="AK561" s="34"/>
      <c r="AL561" s="34"/>
      <c r="AM561" s="34"/>
    </row>
    <row r="562" spans="1:39" ht="12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G562" s="34"/>
      <c r="AH562" s="34"/>
      <c r="AI562" s="34"/>
      <c r="AJ562" s="34"/>
      <c r="AK562" s="34"/>
      <c r="AL562" s="34"/>
      <c r="AM562" s="34"/>
    </row>
    <row r="563" spans="1:39" ht="12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G563" s="34"/>
      <c r="AH563" s="34"/>
      <c r="AI563" s="34"/>
      <c r="AJ563" s="34"/>
      <c r="AK563" s="34"/>
      <c r="AL563" s="34"/>
      <c r="AM563" s="34"/>
    </row>
    <row r="564" spans="1:39" ht="12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G564" s="34"/>
      <c r="AH564" s="34"/>
      <c r="AI564" s="34"/>
      <c r="AJ564" s="34"/>
      <c r="AK564" s="34"/>
      <c r="AL564" s="34"/>
      <c r="AM564" s="34"/>
    </row>
    <row r="565" spans="1:39" ht="12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G565" s="34"/>
      <c r="AH565" s="34"/>
      <c r="AI565" s="34"/>
      <c r="AJ565" s="34"/>
      <c r="AK565" s="34"/>
      <c r="AL565" s="34"/>
      <c r="AM565" s="34"/>
    </row>
    <row r="566" spans="1:39" ht="12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G566" s="34"/>
      <c r="AH566" s="34"/>
      <c r="AI566" s="34"/>
      <c r="AJ566" s="34"/>
      <c r="AK566" s="34"/>
      <c r="AL566" s="34"/>
      <c r="AM566" s="34"/>
    </row>
    <row r="567" spans="1:39" ht="12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G567" s="34"/>
      <c r="AH567" s="34"/>
      <c r="AI567" s="34"/>
      <c r="AJ567" s="34"/>
      <c r="AK567" s="34"/>
      <c r="AL567" s="34"/>
      <c r="AM567" s="34"/>
    </row>
    <row r="568" spans="1:39" ht="12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G568" s="34"/>
      <c r="AH568" s="34"/>
      <c r="AI568" s="34"/>
      <c r="AJ568" s="34"/>
      <c r="AK568" s="34"/>
      <c r="AL568" s="34"/>
      <c r="AM568" s="34"/>
    </row>
    <row r="569" spans="1:39" ht="12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G569" s="34"/>
      <c r="AH569" s="34"/>
      <c r="AI569" s="34"/>
      <c r="AJ569" s="34"/>
      <c r="AK569" s="34"/>
      <c r="AL569" s="34"/>
      <c r="AM569" s="34"/>
    </row>
    <row r="570" spans="1:39" ht="12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G570" s="34"/>
      <c r="AH570" s="34"/>
      <c r="AI570" s="34"/>
      <c r="AJ570" s="34"/>
      <c r="AK570" s="34"/>
      <c r="AL570" s="34"/>
      <c r="AM570" s="34"/>
    </row>
    <row r="571" spans="1:39" ht="12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G571" s="34"/>
      <c r="AH571" s="34"/>
      <c r="AI571" s="34"/>
      <c r="AJ571" s="34"/>
      <c r="AK571" s="34"/>
      <c r="AL571" s="34"/>
      <c r="AM571" s="34"/>
    </row>
    <row r="572" spans="1:39" ht="12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G572" s="34"/>
      <c r="AH572" s="34"/>
      <c r="AI572" s="34"/>
      <c r="AJ572" s="34"/>
      <c r="AK572" s="34"/>
      <c r="AL572" s="34"/>
      <c r="AM572" s="34"/>
    </row>
    <row r="573" spans="1:39" ht="12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G573" s="34"/>
      <c r="AH573" s="34"/>
      <c r="AI573" s="34"/>
      <c r="AJ573" s="34"/>
      <c r="AK573" s="34"/>
      <c r="AL573" s="34"/>
      <c r="AM573" s="34"/>
    </row>
    <row r="574" spans="1:39" ht="12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G574" s="34"/>
      <c r="AH574" s="34"/>
      <c r="AI574" s="34"/>
      <c r="AJ574" s="34"/>
      <c r="AK574" s="34"/>
      <c r="AL574" s="34"/>
      <c r="AM574" s="34"/>
    </row>
    <row r="575" spans="1:39" ht="12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G575" s="34"/>
      <c r="AH575" s="34"/>
      <c r="AI575" s="34"/>
      <c r="AJ575" s="34"/>
      <c r="AK575" s="34"/>
      <c r="AL575" s="34"/>
      <c r="AM575" s="34"/>
    </row>
    <row r="576" spans="1:39" ht="12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G576" s="34"/>
      <c r="AH576" s="34"/>
      <c r="AI576" s="34"/>
      <c r="AJ576" s="34"/>
      <c r="AK576" s="34"/>
      <c r="AL576" s="34"/>
      <c r="AM576" s="34"/>
    </row>
    <row r="577" spans="1:39" ht="12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G577" s="34"/>
      <c r="AH577" s="34"/>
      <c r="AI577" s="34"/>
      <c r="AJ577" s="34"/>
      <c r="AK577" s="34"/>
      <c r="AL577" s="34"/>
      <c r="AM577" s="34"/>
    </row>
    <row r="578" spans="1:39" ht="12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G578" s="34"/>
      <c r="AH578" s="34"/>
      <c r="AI578" s="34"/>
      <c r="AJ578" s="34"/>
      <c r="AK578" s="34"/>
      <c r="AL578" s="34"/>
      <c r="AM578" s="34"/>
    </row>
    <row r="579" spans="1:39" ht="12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G579" s="34"/>
      <c r="AH579" s="34"/>
      <c r="AI579" s="34"/>
      <c r="AJ579" s="34"/>
      <c r="AK579" s="34"/>
      <c r="AL579" s="34"/>
      <c r="AM579" s="34"/>
    </row>
    <row r="580" spans="1:39" ht="12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G580" s="34"/>
      <c r="AH580" s="34"/>
      <c r="AI580" s="34"/>
      <c r="AJ580" s="34"/>
      <c r="AK580" s="34"/>
      <c r="AL580" s="34"/>
      <c r="AM580" s="34"/>
    </row>
    <row r="581" spans="1:39" ht="12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G581" s="34"/>
      <c r="AH581" s="34"/>
      <c r="AI581" s="34"/>
      <c r="AJ581" s="34"/>
      <c r="AK581" s="34"/>
      <c r="AL581" s="34"/>
      <c r="AM581" s="34"/>
    </row>
    <row r="582" spans="1:39" ht="12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G582" s="34"/>
      <c r="AH582" s="34"/>
      <c r="AI582" s="34"/>
      <c r="AJ582" s="34"/>
      <c r="AK582" s="34"/>
      <c r="AL582" s="34"/>
      <c r="AM582" s="34"/>
    </row>
    <row r="583" spans="1:39" ht="12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G583" s="34"/>
      <c r="AH583" s="34"/>
      <c r="AI583" s="34"/>
      <c r="AJ583" s="34"/>
      <c r="AK583" s="34"/>
      <c r="AL583" s="34"/>
      <c r="AM583" s="34"/>
    </row>
    <row r="584" spans="1:39" ht="12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G584" s="34"/>
      <c r="AH584" s="34"/>
      <c r="AI584" s="34"/>
      <c r="AJ584" s="34"/>
      <c r="AK584" s="34"/>
      <c r="AL584" s="34"/>
      <c r="AM584" s="34"/>
    </row>
    <row r="585" spans="1:39" ht="12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G585" s="34"/>
      <c r="AH585" s="34"/>
      <c r="AI585" s="34"/>
      <c r="AJ585" s="34"/>
      <c r="AK585" s="34"/>
      <c r="AL585" s="34"/>
      <c r="AM585" s="34"/>
    </row>
    <row r="586" spans="1:39" ht="12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G586" s="34"/>
      <c r="AH586" s="34"/>
      <c r="AI586" s="34"/>
      <c r="AJ586" s="34"/>
      <c r="AK586" s="34"/>
      <c r="AL586" s="34"/>
      <c r="AM586" s="34"/>
    </row>
    <row r="587" spans="1:39" ht="12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G587" s="34"/>
      <c r="AH587" s="34"/>
      <c r="AI587" s="34"/>
      <c r="AJ587" s="34"/>
      <c r="AK587" s="34"/>
      <c r="AL587" s="34"/>
      <c r="AM587" s="34"/>
    </row>
    <row r="588" spans="1:39" ht="12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G588" s="34"/>
      <c r="AH588" s="34"/>
      <c r="AI588" s="34"/>
      <c r="AJ588" s="34"/>
      <c r="AK588" s="34"/>
      <c r="AL588" s="34"/>
      <c r="AM588" s="34"/>
    </row>
    <row r="589" spans="1:39" ht="12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G589" s="34"/>
      <c r="AH589" s="34"/>
      <c r="AI589" s="34"/>
      <c r="AJ589" s="34"/>
      <c r="AK589" s="34"/>
      <c r="AL589" s="34"/>
      <c r="AM589" s="34"/>
    </row>
    <row r="590" spans="1:39" ht="12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G590" s="34"/>
      <c r="AH590" s="34"/>
      <c r="AI590" s="34"/>
      <c r="AJ590" s="34"/>
      <c r="AK590" s="34"/>
      <c r="AL590" s="34"/>
      <c r="AM590" s="34"/>
    </row>
    <row r="591" spans="1:39" ht="12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G591" s="34"/>
      <c r="AH591" s="34"/>
      <c r="AI591" s="34"/>
      <c r="AJ591" s="34"/>
      <c r="AK591" s="34"/>
      <c r="AL591" s="34"/>
      <c r="AM591" s="34"/>
    </row>
    <row r="592" spans="1:39" ht="12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G592" s="34"/>
      <c r="AH592" s="34"/>
      <c r="AI592" s="34"/>
      <c r="AJ592" s="34"/>
      <c r="AK592" s="34"/>
      <c r="AL592" s="34"/>
      <c r="AM592" s="34"/>
    </row>
    <row r="593" spans="1:39" ht="12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G593" s="34"/>
      <c r="AH593" s="34"/>
      <c r="AI593" s="34"/>
      <c r="AJ593" s="34"/>
      <c r="AK593" s="34"/>
      <c r="AL593" s="34"/>
      <c r="AM593" s="34"/>
    </row>
    <row r="594" spans="1:39" ht="12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G594" s="34"/>
      <c r="AH594" s="34"/>
      <c r="AI594" s="34"/>
      <c r="AJ594" s="34"/>
      <c r="AK594" s="34"/>
      <c r="AL594" s="34"/>
      <c r="AM594" s="34"/>
    </row>
    <row r="595" spans="1:39" ht="12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G595" s="34"/>
      <c r="AH595" s="34"/>
      <c r="AI595" s="34"/>
      <c r="AJ595" s="34"/>
      <c r="AK595" s="34"/>
      <c r="AL595" s="34"/>
      <c r="AM595" s="34"/>
    </row>
    <row r="596" spans="1:39" ht="12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G596" s="34"/>
      <c r="AH596" s="34"/>
      <c r="AI596" s="34"/>
      <c r="AJ596" s="34"/>
      <c r="AK596" s="34"/>
      <c r="AL596" s="34"/>
      <c r="AM596" s="34"/>
    </row>
    <row r="597" spans="1:39" ht="12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G597" s="34"/>
      <c r="AH597" s="34"/>
      <c r="AI597" s="34"/>
      <c r="AJ597" s="34"/>
      <c r="AK597" s="34"/>
      <c r="AL597" s="34"/>
      <c r="AM597" s="34"/>
    </row>
    <row r="598" spans="1:39" ht="12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G598" s="34"/>
      <c r="AH598" s="34"/>
      <c r="AI598" s="34"/>
      <c r="AJ598" s="34"/>
      <c r="AK598" s="34"/>
      <c r="AL598" s="34"/>
      <c r="AM598" s="34"/>
    </row>
    <row r="599" spans="1:39" ht="12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G599" s="34"/>
      <c r="AH599" s="34"/>
      <c r="AI599" s="34"/>
      <c r="AJ599" s="34"/>
      <c r="AK599" s="34"/>
      <c r="AL599" s="34"/>
      <c r="AM599" s="34"/>
    </row>
    <row r="600" spans="1:39" ht="12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G600" s="34"/>
      <c r="AH600" s="34"/>
      <c r="AI600" s="34"/>
      <c r="AJ600" s="34"/>
      <c r="AK600" s="34"/>
      <c r="AL600" s="34"/>
      <c r="AM600" s="34"/>
    </row>
    <row r="601" spans="1:39" ht="12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G601" s="34"/>
      <c r="AH601" s="34"/>
      <c r="AI601" s="34"/>
      <c r="AJ601" s="34"/>
      <c r="AK601" s="34"/>
      <c r="AL601" s="34"/>
      <c r="AM601" s="34"/>
    </row>
    <row r="602" spans="1:39" ht="12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G602" s="34"/>
      <c r="AH602" s="34"/>
      <c r="AI602" s="34"/>
      <c r="AJ602" s="34"/>
      <c r="AK602" s="34"/>
      <c r="AL602" s="34"/>
      <c r="AM602" s="34"/>
    </row>
    <row r="603" spans="1:39" ht="12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G603" s="34"/>
      <c r="AH603" s="34"/>
      <c r="AI603" s="34"/>
      <c r="AJ603" s="34"/>
      <c r="AK603" s="34"/>
      <c r="AL603" s="34"/>
      <c r="AM603" s="34"/>
    </row>
    <row r="604" spans="1:39" ht="12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G604" s="34"/>
      <c r="AH604" s="34"/>
      <c r="AI604" s="34"/>
      <c r="AJ604" s="34"/>
      <c r="AK604" s="34"/>
      <c r="AL604" s="34"/>
      <c r="AM604" s="34"/>
    </row>
    <row r="605" spans="1:39" ht="12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G605" s="34"/>
      <c r="AH605" s="34"/>
      <c r="AI605" s="34"/>
      <c r="AJ605" s="34"/>
      <c r="AK605" s="34"/>
      <c r="AL605" s="34"/>
      <c r="AM605" s="34"/>
    </row>
  </sheetData>
  <sheetProtection/>
  <printOptions horizontalCentered="1"/>
  <pageMargins left="0.5" right="0.5" top="0.5" bottom="0.5" header="0" footer="0.25"/>
  <pageSetup firstPageNumber="36" useFirstPageNumber="1" fitToHeight="2" fitToWidth="2" horizontalDpi="600" verticalDpi="600" orientation="portrait" pageOrder="overThenDown" scale="95" r:id="rId1"/>
  <headerFooter scaleWithDoc="0" alignWithMargins="0">
    <oddFooter>&amp;C&amp;"Times New Roman,Regular"&amp;11&amp;P</oddFooter>
  </headerFooter>
  <rowBreaks count="1" manualBreakCount="1">
    <brk id="80" max="28" man="1"/>
  </rowBreaks>
  <colBreaks count="1" manualBreakCount="1">
    <brk id="14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 P. Kraly</cp:lastModifiedBy>
  <cp:lastPrinted>2012-10-19T14:47:47Z</cp:lastPrinted>
  <dcterms:created xsi:type="dcterms:W3CDTF">2002-06-04T12:17:39Z</dcterms:created>
  <dcterms:modified xsi:type="dcterms:W3CDTF">2012-10-19T14:48:34Z</dcterms:modified>
  <cp:category/>
  <cp:version/>
  <cp:contentType/>
  <cp:contentStatus/>
</cp:coreProperties>
</file>