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75" windowHeight="9975" activeTab="0"/>
  </bookViews>
  <sheets>
    <sheet name="Stm. of Activities" sheetId="1" r:id="rId1"/>
    <sheet name="Gen Rev" sheetId="2" r:id="rId2"/>
    <sheet name="Gen Exp" sheetId="3" r:id="rId3"/>
    <sheet name="Gov Rev" sheetId="4" r:id="rId4"/>
    <sheet name="Gov Exp" sheetId="5" r:id="rId5"/>
  </sheets>
  <definedNames>
    <definedName name="_xlnm.Print_Area" localSheetId="2">'Gen Exp'!$A$8:$AC$260</definedName>
    <definedName name="_xlnm.Print_Area" localSheetId="1">'Gen Rev'!$A$8:$AD$259</definedName>
    <definedName name="_xlnm.Print_Area" localSheetId="3">'Gov Rev'!$A$9:$AC$261</definedName>
    <definedName name="_xlnm.Print_Titles" localSheetId="2">'Gen Exp'!$1:$7</definedName>
    <definedName name="_xlnm.Print_Titles" localSheetId="1">'Gen Rev'!$1:$7</definedName>
    <definedName name="_xlnm.Print_Titles" localSheetId="4">'Gov Exp'!$1:$6</definedName>
    <definedName name="_xlnm.Print_Titles" localSheetId="3">'Gov Rev'!$1:$8</definedName>
  </definedNames>
  <calcPr fullCalcOnLoad="1"/>
</workbook>
</file>

<file path=xl/sharedStrings.xml><?xml version="1.0" encoding="utf-8"?>
<sst xmlns="http://schemas.openxmlformats.org/spreadsheetml/2006/main" count="2540" uniqueCount="609">
  <si>
    <t>Other</t>
  </si>
  <si>
    <t>Miscellaneous</t>
  </si>
  <si>
    <t>Transfers-In</t>
  </si>
  <si>
    <t>Transfers-Out</t>
  </si>
  <si>
    <t xml:space="preserve">Advances-In </t>
  </si>
  <si>
    <t xml:space="preserve">Advances-Out </t>
  </si>
  <si>
    <t>Intergovernmental</t>
  </si>
  <si>
    <t>Salaries</t>
  </si>
  <si>
    <t>Employee Fringe Benefits</t>
  </si>
  <si>
    <t>Supplies</t>
  </si>
  <si>
    <t>Entity Name</t>
  </si>
  <si>
    <t>County</t>
  </si>
  <si>
    <t>HENRY</t>
  </si>
  <si>
    <t>ATHENS</t>
  </si>
  <si>
    <t>CLARK</t>
  </si>
  <si>
    <t>HURON</t>
  </si>
  <si>
    <t>LICKING</t>
  </si>
  <si>
    <t>SUMMIT</t>
  </si>
  <si>
    <t>LORAIN</t>
  </si>
  <si>
    <t>SHELBY</t>
  </si>
  <si>
    <t>ASHTABULA</t>
  </si>
  <si>
    <t>ASHLAND</t>
  </si>
  <si>
    <t>BELMONT</t>
  </si>
  <si>
    <t>LOGAN</t>
  </si>
  <si>
    <t>SENECA</t>
  </si>
  <si>
    <t>FRANKLIN</t>
  </si>
  <si>
    <t>SANDUSKY</t>
  </si>
  <si>
    <t>CLINTON</t>
  </si>
  <si>
    <t>LAWRENCE</t>
  </si>
  <si>
    <t>TRUMBULL</t>
  </si>
  <si>
    <t>PREBLE</t>
  </si>
  <si>
    <t>CRAWFORD</t>
  </si>
  <si>
    <t>MORROW</t>
  </si>
  <si>
    <t>FAYETTE</t>
  </si>
  <si>
    <t>COLUMBIANA</t>
  </si>
  <si>
    <t>KNOX</t>
  </si>
  <si>
    <t>CHAMPAIGN</t>
  </si>
  <si>
    <t>CLERMONT</t>
  </si>
  <si>
    <t>COSHOCTON</t>
  </si>
  <si>
    <t>CUYAHOGA</t>
  </si>
  <si>
    <t>MONTGOMERY</t>
  </si>
  <si>
    <t>DEFIANCE</t>
  </si>
  <si>
    <t>DELAWARE</t>
  </si>
  <si>
    <t>WYANDOT</t>
  </si>
  <si>
    <t>TUSCARAWAS</t>
  </si>
  <si>
    <t>FAIRFIELD</t>
  </si>
  <si>
    <t>LAKE</t>
  </si>
  <si>
    <t>HANCOCK</t>
  </si>
  <si>
    <t>PIKE</t>
  </si>
  <si>
    <t>MERCER</t>
  </si>
  <si>
    <t>GEAUGA</t>
  </si>
  <si>
    <t>GREENE</t>
  </si>
  <si>
    <t>GUERNSEY</t>
  </si>
  <si>
    <t>HARDIN</t>
  </si>
  <si>
    <t>OTTAWA</t>
  </si>
  <si>
    <t>.</t>
  </si>
  <si>
    <t>VINTON</t>
  </si>
  <si>
    <t>ERIE</t>
  </si>
  <si>
    <t>BUTLER</t>
  </si>
  <si>
    <t>ALLEN</t>
  </si>
  <si>
    <t>HOCKING</t>
  </si>
  <si>
    <t>MADISON</t>
  </si>
  <si>
    <t>RICHLAND</t>
  </si>
  <si>
    <t>MARION</t>
  </si>
  <si>
    <t>UNION</t>
  </si>
  <si>
    <t>STARK</t>
  </si>
  <si>
    <t>MEDINA</t>
  </si>
  <si>
    <t>WILLIAMS</t>
  </si>
  <si>
    <t>MUSKINGUM</t>
  </si>
  <si>
    <t>PERRY</t>
  </si>
  <si>
    <t>MAHONING</t>
  </si>
  <si>
    <t>WOOD</t>
  </si>
  <si>
    <t>JACKSON</t>
  </si>
  <si>
    <t>WAYNE</t>
  </si>
  <si>
    <t>PAULDING</t>
  </si>
  <si>
    <t>PICKAWAY</t>
  </si>
  <si>
    <t>PORTAGE</t>
  </si>
  <si>
    <t>SCIOTO</t>
  </si>
  <si>
    <t>WARREN</t>
  </si>
  <si>
    <t>NOBLE</t>
  </si>
  <si>
    <t>JEFFERSON</t>
  </si>
  <si>
    <t>LUCUS</t>
  </si>
  <si>
    <t>MIAMI</t>
  </si>
  <si>
    <t>BROWN</t>
  </si>
  <si>
    <t>WASHINGTON</t>
  </si>
  <si>
    <t>ADAMS</t>
  </si>
  <si>
    <t>DARKE</t>
  </si>
  <si>
    <t>FULTON</t>
  </si>
  <si>
    <t>AUGLAIZE</t>
  </si>
  <si>
    <t>HARRISON</t>
  </si>
  <si>
    <t>CARROLL</t>
  </si>
  <si>
    <t>ROSS</t>
  </si>
  <si>
    <t>GALLIA</t>
  </si>
  <si>
    <t>HIGHLAND</t>
  </si>
  <si>
    <t>HOLMES</t>
  </si>
  <si>
    <t>MORGAN</t>
  </si>
  <si>
    <t>MONROE</t>
  </si>
  <si>
    <t>PUTMAN</t>
  </si>
  <si>
    <t>(Continued)</t>
  </si>
  <si>
    <t>Library</t>
  </si>
  <si>
    <t>Lane Public Library</t>
  </si>
  <si>
    <t>Butler</t>
  </si>
  <si>
    <t>London Public Library</t>
  </si>
  <si>
    <t>Madison</t>
  </si>
  <si>
    <t>Belmont</t>
  </si>
  <si>
    <t>Mentor Public Library</t>
  </si>
  <si>
    <t>Lake</t>
  </si>
  <si>
    <t>Knox</t>
  </si>
  <si>
    <t>Geauga</t>
  </si>
  <si>
    <t>Euclid Public Library</t>
  </si>
  <si>
    <t>Cuyahoga</t>
  </si>
  <si>
    <t>Medina</t>
  </si>
  <si>
    <t>Barnesville Public Library</t>
  </si>
  <si>
    <t>Summit</t>
  </si>
  <si>
    <t>Portsmouth Public Library</t>
  </si>
  <si>
    <t>Scioto</t>
  </si>
  <si>
    <t>Stark</t>
  </si>
  <si>
    <t>Tuscarawas</t>
  </si>
  <si>
    <t>Washington</t>
  </si>
  <si>
    <t>Total</t>
  </si>
  <si>
    <t>Services</t>
  </si>
  <si>
    <t>Capital</t>
  </si>
  <si>
    <t>Property and</t>
  </si>
  <si>
    <t>Assets</t>
  </si>
  <si>
    <t>Alexandria Publ Library</t>
  </si>
  <si>
    <t>Brown County Public Library</t>
  </si>
  <si>
    <t>Coldwater Publi Library</t>
  </si>
  <si>
    <t>Girard Free Library</t>
  </si>
  <si>
    <t>Gnadenhutten Public Library</t>
  </si>
  <si>
    <t>Herrick Memorial Library</t>
  </si>
  <si>
    <t>Hurt Battelle Memorial Library</t>
  </si>
  <si>
    <t>Wauseon Public Library</t>
  </si>
  <si>
    <t>Wickliffe Public Library</t>
  </si>
  <si>
    <t>Adams</t>
  </si>
  <si>
    <t>Licking</t>
  </si>
  <si>
    <t>Fulton</t>
  </si>
  <si>
    <t>Ashtabula</t>
  </si>
  <si>
    <t>Auglaize</t>
  </si>
  <si>
    <t>Seneca</t>
  </si>
  <si>
    <t>Harrison</t>
  </si>
  <si>
    <t>Brown</t>
  </si>
  <si>
    <t>Carroll</t>
  </si>
  <si>
    <t>Ross</t>
  </si>
  <si>
    <t>Mercer</t>
  </si>
  <si>
    <t>Columbiana</t>
  </si>
  <si>
    <t>Crawford</t>
  </si>
  <si>
    <t>Miami</t>
  </si>
  <si>
    <t>Warren</t>
  </si>
  <si>
    <t>Montgomery</t>
  </si>
  <si>
    <t>Trumbull</t>
  </si>
  <si>
    <t>Lorain</t>
  </si>
  <si>
    <t>Highland</t>
  </si>
  <si>
    <t>Morgan</t>
  </si>
  <si>
    <t>Henry</t>
  </si>
  <si>
    <t>Hardin</t>
  </si>
  <si>
    <t>Champaign</t>
  </si>
  <si>
    <t>Wyandot</t>
  </si>
  <si>
    <t>Monroe</t>
  </si>
  <si>
    <t>Wood</t>
  </si>
  <si>
    <t>Perry</t>
  </si>
  <si>
    <t>Fairfield</t>
  </si>
  <si>
    <t>Morrow</t>
  </si>
  <si>
    <t>Clinton</t>
  </si>
  <si>
    <t>Delaware</t>
  </si>
  <si>
    <t>Alexandria Public Library</t>
  </si>
  <si>
    <t>Coldwater Public Library</t>
  </si>
  <si>
    <t xml:space="preserve">Ada Public Library </t>
  </si>
  <si>
    <t xml:space="preserve">Adams County Public Library </t>
  </si>
  <si>
    <t xml:space="preserve">Alger Public Library </t>
  </si>
  <si>
    <t>Amherst Public Library</t>
  </si>
  <si>
    <t>Amos Memorial Public Library</t>
  </si>
  <si>
    <t>Shelby</t>
  </si>
  <si>
    <t>Andover Public Library</t>
  </si>
  <si>
    <t xml:space="preserve">Arcanum Public Library </t>
  </si>
  <si>
    <t>Darke</t>
  </si>
  <si>
    <t xml:space="preserve">Archbold Commun Library </t>
  </si>
  <si>
    <t>Ashland Public Library</t>
  </si>
  <si>
    <t>Ashland</t>
  </si>
  <si>
    <t xml:space="preserve">Ashtabula Co Di Library </t>
  </si>
  <si>
    <t xml:space="preserve">Auglaize Co. District Library </t>
  </si>
  <si>
    <t>Avon Lake Public Library</t>
  </si>
  <si>
    <t xml:space="preserve">Bellaire Public Library </t>
  </si>
  <si>
    <t>Belle Center Free Public Library</t>
  </si>
  <si>
    <t>Logan</t>
  </si>
  <si>
    <t>Bellevue Public Library</t>
  </si>
  <si>
    <t>Huron</t>
  </si>
  <si>
    <t>Bettsville Public Library</t>
  </si>
  <si>
    <t>Bexley Pubilce Library</t>
  </si>
  <si>
    <t>Franklin</t>
  </si>
  <si>
    <t>Birchard Public Library</t>
  </si>
  <si>
    <t>Sandusky</t>
  </si>
  <si>
    <t>Blanchester Public Library</t>
  </si>
  <si>
    <t xml:space="preserve">Bliss Memorial Public Library </t>
  </si>
  <si>
    <t xml:space="preserve">Bluffton-Richla Library </t>
  </si>
  <si>
    <t>Allen</t>
  </si>
  <si>
    <t xml:space="preserve">Bowerston Library </t>
  </si>
  <si>
    <t xml:space="preserve">Bradford Public Library </t>
  </si>
  <si>
    <t>Briggs Law Co. Publice Library</t>
  </si>
  <si>
    <t>Lawrence</t>
  </si>
  <si>
    <t>Bristol Public Library</t>
  </si>
  <si>
    <t>Brown Memorial Public Library</t>
  </si>
  <si>
    <t>Preble</t>
  </si>
  <si>
    <t>Bucyrus Public Library</t>
  </si>
  <si>
    <t xml:space="preserve">Burton Public Library </t>
  </si>
  <si>
    <t xml:space="preserve">Caldwell Public Library </t>
  </si>
  <si>
    <t>Noble</t>
  </si>
  <si>
    <t xml:space="preserve">Canal Fulton Public Library </t>
  </si>
  <si>
    <t>Cardington-Lincoln Village Public</t>
  </si>
  <si>
    <t>Carnegie Public Library</t>
  </si>
  <si>
    <t>Fayette</t>
  </si>
  <si>
    <t xml:space="preserve">Carroll Co. District Library </t>
  </si>
  <si>
    <t>Centerburg Public Library</t>
  </si>
  <si>
    <t>Champaign Co. Publice Library</t>
  </si>
  <si>
    <t xml:space="preserve">Chillicothe &amp; Ross Cty. Public Library </t>
  </si>
  <si>
    <t>Clark County Public Library</t>
  </si>
  <si>
    <t>Clark</t>
  </si>
  <si>
    <t xml:space="preserve">Claymont School Dist.Public Library </t>
  </si>
  <si>
    <t>Clermont County Public Library</t>
  </si>
  <si>
    <t>Clermont</t>
  </si>
  <si>
    <t>Clyde Public Library</t>
  </si>
  <si>
    <t xml:space="preserve">Columbiana Library </t>
  </si>
  <si>
    <t>Columbus Metropolitan Public Library</t>
  </si>
  <si>
    <t>Conneaut Public Library</t>
  </si>
  <si>
    <t>Coshocton Public Library</t>
  </si>
  <si>
    <t>Coshocton</t>
  </si>
  <si>
    <t xml:space="preserve">Crestline Public Library </t>
  </si>
  <si>
    <t>Cuyahoga Co. Public Library</t>
  </si>
  <si>
    <t xml:space="preserve">Dayton Metro Library </t>
  </si>
  <si>
    <t>Defiance Public Library</t>
  </si>
  <si>
    <t>Defiance</t>
  </si>
  <si>
    <t>Delaware County District Library</t>
  </si>
  <si>
    <t xml:space="preserve">Delphos Public Library </t>
  </si>
  <si>
    <t xml:space="preserve">Delta Public Library </t>
  </si>
  <si>
    <t>Dorcas Carey Public Library</t>
  </si>
  <si>
    <t>Dover Public Library</t>
  </si>
  <si>
    <t xml:space="preserve">Dr. Samuel Bossard Mem. Library </t>
  </si>
  <si>
    <t>Gallia</t>
  </si>
  <si>
    <t>Dr. Sloan Library</t>
  </si>
  <si>
    <t>East Palestine Memorial Public Library</t>
  </si>
  <si>
    <t>Elyria Public Library</t>
  </si>
  <si>
    <t xml:space="preserve">Evergreen Community Library </t>
  </si>
  <si>
    <t>Fairfield County District</t>
  </si>
  <si>
    <t>Fairport Harbor Public Library</t>
  </si>
  <si>
    <t>Findlay-Hancock Co. Public Library</t>
  </si>
  <si>
    <t>Hancock</t>
  </si>
  <si>
    <t xml:space="preserve">Flesh Public Library </t>
  </si>
  <si>
    <t xml:space="preserve">Forest-Jackson Public Library </t>
  </si>
  <si>
    <t>Fort Recovery Public Library</t>
  </si>
  <si>
    <t xml:space="preserve">Franklin Public Library </t>
  </si>
  <si>
    <t xml:space="preserve">Galion Public Library </t>
  </si>
  <si>
    <t>Garnet A.Wilson Public Library</t>
  </si>
  <si>
    <t>Pike</t>
  </si>
  <si>
    <t>Geauga County Public Library</t>
  </si>
  <si>
    <t xml:space="preserve">Germantown Public Library </t>
  </si>
  <si>
    <t xml:space="preserve">Grafton-Midview Public Library </t>
  </si>
  <si>
    <t xml:space="preserve">Grand Valley Pu Library </t>
  </si>
  <si>
    <t>Grandview Heights Public Library</t>
  </si>
  <si>
    <t>Granville Public Library</t>
  </si>
  <si>
    <t>Greene Co. Public Library</t>
  </si>
  <si>
    <t>Greene</t>
  </si>
  <si>
    <t xml:space="preserve">Greenville Public Library </t>
  </si>
  <si>
    <t>Guernsey Co. Library</t>
  </si>
  <si>
    <t>Guernsey</t>
  </si>
  <si>
    <t xml:space="preserve">Harbor-Topky Memorial Library </t>
  </si>
  <si>
    <t>Hardin Northern Public Library</t>
  </si>
  <si>
    <t>Harris Elmore Public Library</t>
  </si>
  <si>
    <t>Ottawa</t>
  </si>
  <si>
    <t xml:space="preserve">Henderson Memor Library </t>
  </si>
  <si>
    <t>Herbert Wescoat Memorial Library</t>
  </si>
  <si>
    <t>Vinton</t>
  </si>
  <si>
    <t xml:space="preserve">Highland Co Library </t>
  </si>
  <si>
    <t>Holgate Community Library</t>
  </si>
  <si>
    <t xml:space="preserve">Holmes Co. Publ Library </t>
  </si>
  <si>
    <t>Holmes</t>
  </si>
  <si>
    <t xml:space="preserve">Homer-Burlingto Library </t>
  </si>
  <si>
    <t>Hubbard Library</t>
  </si>
  <si>
    <t>Hudson Library &amp; Historic Society</t>
  </si>
  <si>
    <t>Huron Public Library</t>
  </si>
  <si>
    <t>Erie</t>
  </si>
  <si>
    <t>Ida Rupp Public Library</t>
  </si>
  <si>
    <t xml:space="preserve">J.R. Clarke Pub Library </t>
  </si>
  <si>
    <t xml:space="preserve">Jackson City Library </t>
  </si>
  <si>
    <t>Jackson</t>
  </si>
  <si>
    <t xml:space="preserve">Kate Love Simps Library </t>
  </si>
  <si>
    <t>Kaubish Memorial Public Library</t>
  </si>
  <si>
    <t xml:space="preserve">Kent Free Library </t>
  </si>
  <si>
    <t>Portage</t>
  </si>
  <si>
    <t xml:space="preserve">Kingsville Library </t>
  </si>
  <si>
    <t xml:space="preserve">Kinsman Free Public Library </t>
  </si>
  <si>
    <t xml:space="preserve">Kirtland Public Library </t>
  </si>
  <si>
    <t xml:space="preserve">Lebanon Public Library </t>
  </si>
  <si>
    <t xml:space="preserve">Leetonia Commun Library </t>
  </si>
  <si>
    <t xml:space="preserve">Lepper Library </t>
  </si>
  <si>
    <t xml:space="preserve">Liberty Center Library </t>
  </si>
  <si>
    <t>Lima Public Library</t>
  </si>
  <si>
    <t>Logan Co. District</t>
  </si>
  <si>
    <t>Logan Hocking Co. District</t>
  </si>
  <si>
    <t>Hocking</t>
  </si>
  <si>
    <t>Lorain Public Library</t>
  </si>
  <si>
    <t>Loudonville Public Library</t>
  </si>
  <si>
    <t xml:space="preserve">Louisville Publ Library </t>
  </si>
  <si>
    <t>Madison Public Library</t>
  </si>
  <si>
    <t>Mansfield - Richland Co. Public Library</t>
  </si>
  <si>
    <t>Richland</t>
  </si>
  <si>
    <t xml:space="preserve">Marion Lawrence Memorial Library </t>
  </si>
  <si>
    <t>Marion Public Library</t>
  </si>
  <si>
    <t>Marion</t>
  </si>
  <si>
    <t xml:space="preserve">Marvin Memorial Library </t>
  </si>
  <si>
    <t xml:space="preserve">Mary L. Cook Public Library </t>
  </si>
  <si>
    <t xml:space="preserve">Mary Lou Johnson-Hardin Library </t>
  </si>
  <si>
    <t>Marysville Public Library</t>
  </si>
  <si>
    <t>Union</t>
  </si>
  <si>
    <t xml:space="preserve">Mason Public Library </t>
  </si>
  <si>
    <t>Massillon Public Library</t>
  </si>
  <si>
    <t xml:space="preserve">Mccomb Public Library </t>
  </si>
  <si>
    <t xml:space="preserve">Mechanicsburg Library </t>
  </si>
  <si>
    <t>Medina Co. District Library</t>
  </si>
  <si>
    <t>Mercer Co. District Library</t>
  </si>
  <si>
    <t>Middletown Public Library</t>
  </si>
  <si>
    <t xml:space="preserve">Milan-Berlin Library </t>
  </si>
  <si>
    <t xml:space="preserve">Milton Union Library </t>
  </si>
  <si>
    <t xml:space="preserve">Minerva Public Library </t>
  </si>
  <si>
    <t xml:space="preserve">Mohawk Communit Library </t>
  </si>
  <si>
    <t>Molo Regional Library System</t>
  </si>
  <si>
    <t xml:space="preserve">Monroe County D Library </t>
  </si>
  <si>
    <t>Monroeville Public Library</t>
  </si>
  <si>
    <t>Montpelier Public Library</t>
  </si>
  <si>
    <t>Williams</t>
  </si>
  <si>
    <t>Morely Library</t>
  </si>
  <si>
    <t>Mount Gilead Public Library</t>
  </si>
  <si>
    <t xml:space="preserve">Mount Sterling Public Library </t>
  </si>
  <si>
    <t>Muskingum Co. Library</t>
  </si>
  <si>
    <t>Muskingum</t>
  </si>
  <si>
    <t>Nelsonville Public Library</t>
  </si>
  <si>
    <t>Athens</t>
  </si>
  <si>
    <t>New Carlisle</t>
  </si>
  <si>
    <t>New London</t>
  </si>
  <si>
    <t xml:space="preserve">New Madison Library </t>
  </si>
  <si>
    <t>New Straightsville Public Library</t>
  </si>
  <si>
    <t>Newark</t>
  </si>
  <si>
    <t xml:space="preserve">Newcomerstown Library </t>
  </si>
  <si>
    <t>Newton Falls Public Library</t>
  </si>
  <si>
    <t>Nola Regional Library</t>
  </si>
  <si>
    <t>Mahoning</t>
  </si>
  <si>
    <t xml:space="preserve">Normal Memorial Library </t>
  </si>
  <si>
    <t xml:space="preserve">North Baltimore Library </t>
  </si>
  <si>
    <t>North Canton Public Library</t>
  </si>
  <si>
    <t>Northwest Library</t>
  </si>
  <si>
    <t xml:space="preserve">Norwalk Public Library </t>
  </si>
  <si>
    <t>Oak Harbor Public Library</t>
  </si>
  <si>
    <t>Oak Hill Public Library</t>
  </si>
  <si>
    <t>Oberlin Public Library</t>
  </si>
  <si>
    <t>Ohio Vally Area Libraris</t>
  </si>
  <si>
    <t>Orrville Public Library</t>
  </si>
  <si>
    <t>Wayne</t>
  </si>
  <si>
    <t xml:space="preserve">Pataskala Public Library </t>
  </si>
  <si>
    <t>Patrick Henry School District Library</t>
  </si>
  <si>
    <t>Paulding County Carnegie Library</t>
  </si>
  <si>
    <t>Paulding</t>
  </si>
  <si>
    <t>Paulding County Law Library</t>
  </si>
  <si>
    <t>Pemberville Public Library</t>
  </si>
  <si>
    <t xml:space="preserve">Peninsula Library </t>
  </si>
  <si>
    <t xml:space="preserve">Perry Co Dist Library </t>
  </si>
  <si>
    <t>Perry Cook Memorial Public Library</t>
  </si>
  <si>
    <t>Perry County Law Library</t>
  </si>
  <si>
    <t xml:space="preserve">Perry Public Library </t>
  </si>
  <si>
    <t>Pickaway County Public Library</t>
  </si>
  <si>
    <t>Pickaway</t>
  </si>
  <si>
    <t xml:space="preserve">Pickerington Pu Library </t>
  </si>
  <si>
    <t xml:space="preserve">Plain City Public Library </t>
  </si>
  <si>
    <t>Portage Co. Library</t>
  </si>
  <si>
    <t>Portage Public Library</t>
  </si>
  <si>
    <t>Preble Co. Library</t>
  </si>
  <si>
    <t xml:space="preserve">Puskarich Public Library </t>
  </si>
  <si>
    <t xml:space="preserve">Putnam County Library </t>
  </si>
  <si>
    <t>Putman</t>
  </si>
  <si>
    <t xml:space="preserve">Reed Memorial Library </t>
  </si>
  <si>
    <t>Reuben Mcmillan Free Library</t>
  </si>
  <si>
    <t>Richwood-North Union Public Library</t>
  </si>
  <si>
    <t xml:space="preserve">Ridgemont Publi Library </t>
  </si>
  <si>
    <t>Ritter Public Library</t>
  </si>
  <si>
    <t xml:space="preserve">Rock Creek Library </t>
  </si>
  <si>
    <t xml:space="preserve">Rockford Carneg Library </t>
  </si>
  <si>
    <t>Rocky River Public Library</t>
  </si>
  <si>
    <t>Rodman Public Library</t>
  </si>
  <si>
    <t>Rossford Public Library</t>
  </si>
  <si>
    <t xml:space="preserve">Sabina Library </t>
  </si>
  <si>
    <t xml:space="preserve">Saint Paris Pub Library </t>
  </si>
  <si>
    <t>Salem Public Library</t>
  </si>
  <si>
    <t>Salem Township Public Library</t>
  </si>
  <si>
    <t>Sandusky Liabrary</t>
  </si>
  <si>
    <t xml:space="preserve">Selover Public Library </t>
  </si>
  <si>
    <t xml:space="preserve">Seneca East Public Library </t>
  </si>
  <si>
    <t xml:space="preserve">Shaker Heights Public Library </t>
  </si>
  <si>
    <t>Solo Regional Library</t>
  </si>
  <si>
    <t>Southwest Public Library</t>
  </si>
  <si>
    <t xml:space="preserve">St Marys Community Public Library </t>
  </si>
  <si>
    <t xml:space="preserve">St.Clairsville Library </t>
  </si>
  <si>
    <t>Stark Co. District Library</t>
  </si>
  <si>
    <t>Steubenville Public Library</t>
  </si>
  <si>
    <t>Jefferson</t>
  </si>
  <si>
    <t>Stow-Munroe Falls Public Library</t>
  </si>
  <si>
    <t xml:space="preserve">Swanton Public Library </t>
  </si>
  <si>
    <t xml:space="preserve">Sylvester Memor Library </t>
  </si>
  <si>
    <t>Taylor Memorial Library</t>
  </si>
  <si>
    <t>Tiffin-Seneca Public Library</t>
  </si>
  <si>
    <t>Toledo-Lucas Co. Public Library</t>
  </si>
  <si>
    <t>Lucus</t>
  </si>
  <si>
    <t>Tuscarawas Co. Public Library</t>
  </si>
  <si>
    <t>Twinsberg Public Library</t>
  </si>
  <si>
    <t>Union Township Public Library</t>
  </si>
  <si>
    <t>Upper Arlington Public Library</t>
  </si>
  <si>
    <t>Upper Sandusky Comm. Library</t>
  </si>
  <si>
    <t>Warren Trumbull Co. Library</t>
  </si>
  <si>
    <t>Washington Co Public Library</t>
  </si>
  <si>
    <t>Washington-Centerville Public Library</t>
  </si>
  <si>
    <t>Wayne Co. Public Library</t>
  </si>
  <si>
    <t>Wayne Public Library</t>
  </si>
  <si>
    <t>Way-Perrysburg Public Library</t>
  </si>
  <si>
    <t xml:space="preserve">Wellsville Carnegie Library </t>
  </si>
  <si>
    <t xml:space="preserve">Weston Public Library </t>
  </si>
  <si>
    <t>Willard Memorial Library</t>
  </si>
  <si>
    <t>Williams Co. Public Library</t>
  </si>
  <si>
    <t>Willoughby-Eastlake Public Library</t>
  </si>
  <si>
    <t xml:space="preserve">Wilmington Public Library </t>
  </si>
  <si>
    <t>Wood Co. District Public Library</t>
  </si>
  <si>
    <t xml:space="preserve">Worch Memorial Public Library </t>
  </si>
  <si>
    <t xml:space="preserve">Wornstaff Memor Library </t>
  </si>
  <si>
    <t>Worthington Public Library</t>
  </si>
  <si>
    <t>Wright Memorial Public Library</t>
  </si>
  <si>
    <t>Local Taxes</t>
  </si>
  <si>
    <t>Library and</t>
  </si>
  <si>
    <t>Local</t>
  </si>
  <si>
    <t>Government</t>
  </si>
  <si>
    <t>Support</t>
  </si>
  <si>
    <t>Patrons Fines</t>
  </si>
  <si>
    <t>and Fees</t>
  </si>
  <si>
    <t>Provided to</t>
  </si>
  <si>
    <t>Other Entities</t>
  </si>
  <si>
    <t>Contributions,</t>
  </si>
  <si>
    <t>Gifts, and</t>
  </si>
  <si>
    <t>Donations</t>
  </si>
  <si>
    <t>Earnings on</t>
  </si>
  <si>
    <t>Investments</t>
  </si>
  <si>
    <t xml:space="preserve">Sale of </t>
  </si>
  <si>
    <t>Fixed</t>
  </si>
  <si>
    <t>Financing</t>
  </si>
  <si>
    <t>Sources</t>
  </si>
  <si>
    <t xml:space="preserve">Archbold Community Library </t>
  </si>
  <si>
    <t>Bexley Public Library</t>
  </si>
  <si>
    <t xml:space="preserve">Bluffton-Richland Library </t>
  </si>
  <si>
    <t>Briggs Law Co. Public Library</t>
  </si>
  <si>
    <t>Champaign Co. Public Library</t>
  </si>
  <si>
    <t xml:space="preserve">Chillicothe &amp; Ross Co.. Public Library </t>
  </si>
  <si>
    <t xml:space="preserve">Claymont School District Public Library </t>
  </si>
  <si>
    <t xml:space="preserve">Dr. Samuel Bossard Memorial. Library </t>
  </si>
  <si>
    <t>Garnet A. Wilson Public Library</t>
  </si>
  <si>
    <t xml:space="preserve">Grand Valley Public Library </t>
  </si>
  <si>
    <t xml:space="preserve">Henderson Memorial Library </t>
  </si>
  <si>
    <t xml:space="preserve">Holmes Co. Public Library </t>
  </si>
  <si>
    <t xml:space="preserve">Homer-Burlington Library </t>
  </si>
  <si>
    <t xml:space="preserve">Leetonia Community Library </t>
  </si>
  <si>
    <t xml:space="preserve">Louisville Public Library </t>
  </si>
  <si>
    <t xml:space="preserve">Macomb Public Library </t>
  </si>
  <si>
    <t xml:space="preserve">Mohawk Community Library </t>
  </si>
  <si>
    <t>Napoleon Area School Public</t>
  </si>
  <si>
    <t>Ohio Valley Area Library</t>
  </si>
  <si>
    <t xml:space="preserve">Pickerington Public Library </t>
  </si>
  <si>
    <t>Reuben McMillan Free Library</t>
  </si>
  <si>
    <t xml:space="preserve">Ridgemont Public Library </t>
  </si>
  <si>
    <t>Sandusky Library</t>
  </si>
  <si>
    <t xml:space="preserve">St. Clairsville Library </t>
  </si>
  <si>
    <t xml:space="preserve">Sylvester Memorial Library </t>
  </si>
  <si>
    <t>Lucas</t>
  </si>
  <si>
    <t>Twinsburg Public Library</t>
  </si>
  <si>
    <t xml:space="preserve">Wornstaff Memorial Library </t>
  </si>
  <si>
    <t>Employee</t>
  </si>
  <si>
    <t>Fringe</t>
  </si>
  <si>
    <t>Purchased and</t>
  </si>
  <si>
    <t>Contracted</t>
  </si>
  <si>
    <t>Materials and</t>
  </si>
  <si>
    <t>Information</t>
  </si>
  <si>
    <t>Outlay</t>
  </si>
  <si>
    <t xml:space="preserve">Redemption of </t>
  </si>
  <si>
    <t>Principal</t>
  </si>
  <si>
    <t>Interest and</t>
  </si>
  <si>
    <t>Other Fiscal</t>
  </si>
  <si>
    <t>Charges</t>
  </si>
  <si>
    <t>Uses</t>
  </si>
  <si>
    <t xml:space="preserve">Napoleon Area School </t>
  </si>
  <si>
    <t xml:space="preserve">Ashtabula Co District Library </t>
  </si>
  <si>
    <t xml:space="preserve">Claymont School Dist. Public Library </t>
  </si>
  <si>
    <t xml:space="preserve">Dr. Samuel Bossard Memorial Library </t>
  </si>
  <si>
    <t>Hudson Library &amp; Historical Society</t>
  </si>
  <si>
    <t xml:space="preserve">Kate Love Simpson Library </t>
  </si>
  <si>
    <t xml:space="preserve">Chillicothe &amp; Ross Co. Public Library </t>
  </si>
  <si>
    <t xml:space="preserve">J.R. Clarke Public Library </t>
  </si>
  <si>
    <t xml:space="preserve">McComb Public Library </t>
  </si>
  <si>
    <t xml:space="preserve">Monroe County District Library </t>
  </si>
  <si>
    <t>New Carlisle Library</t>
  </si>
  <si>
    <t>New London Library</t>
  </si>
  <si>
    <t>Newark Library</t>
  </si>
  <si>
    <t>Ohio Valley Area Libraries</t>
  </si>
  <si>
    <t xml:space="preserve">Rockford Carnegie Library </t>
  </si>
  <si>
    <t xml:space="preserve">St. Marys Community Public Library </t>
  </si>
  <si>
    <t>Upper Sandusky Community Library</t>
  </si>
  <si>
    <t>Washington Co. Public Library</t>
  </si>
  <si>
    <t xml:space="preserve">Saint Paris Public Library </t>
  </si>
  <si>
    <t xml:space="preserve">Perry Co. Dist Library </t>
  </si>
  <si>
    <t xml:space="preserve">Highland Co. Library </t>
  </si>
  <si>
    <t xml:space="preserve">Ashtabula Co. District Library </t>
  </si>
  <si>
    <t>Intergovern-</t>
  </si>
  <si>
    <t>mental</t>
  </si>
  <si>
    <t>For the Year Ending December 31, 2006</t>
  </si>
  <si>
    <t>Tipp-Miami Co. Library</t>
  </si>
  <si>
    <t>For the Year Ended December 31, 2006</t>
  </si>
  <si>
    <t>Program Receipts</t>
  </si>
  <si>
    <t>General Receipts</t>
  </si>
  <si>
    <t>Monrow</t>
  </si>
  <si>
    <t>Adams County Public Library</t>
  </si>
  <si>
    <t>Archbold Community Library</t>
  </si>
  <si>
    <t>Ashtabula Co. District Library</t>
  </si>
  <si>
    <t>Auglaize Co. District Library</t>
  </si>
  <si>
    <t>Barberton Public Library</t>
  </si>
  <si>
    <t>Bellaire Public Library</t>
  </si>
  <si>
    <t>Bowerston Library</t>
  </si>
  <si>
    <t>Carroll Co. District Library</t>
  </si>
  <si>
    <t>Chillicothe &amp; Ross Co.. Public Library</t>
  </si>
  <si>
    <t>Claymont School District Public Library</t>
  </si>
  <si>
    <t>Community Library</t>
  </si>
  <si>
    <t>Crestline Public Library</t>
  </si>
  <si>
    <t>Flesh Public Library</t>
  </si>
  <si>
    <t>Evergreen Community Library</t>
  </si>
  <si>
    <t>Franklin Public Library</t>
  </si>
  <si>
    <t>Galion Public Library</t>
  </si>
  <si>
    <t>Germantown Public Library</t>
  </si>
  <si>
    <t>Highland Co. Library</t>
  </si>
  <si>
    <t>Kate Love Simps Library</t>
  </si>
  <si>
    <t>Lebanon Public Library</t>
  </si>
  <si>
    <t>Leetonia Common Library</t>
  </si>
  <si>
    <t>Jackson City Library</t>
  </si>
  <si>
    <t>Grafton-Midview Public Library</t>
  </si>
  <si>
    <t>Mary L. Cook Public Library</t>
  </si>
  <si>
    <t>Mary Lou Johnson-Hardin Library</t>
  </si>
  <si>
    <t>Mason Public Library</t>
  </si>
  <si>
    <t>Mechanicsburg Library</t>
  </si>
  <si>
    <t>Minerva Public Library</t>
  </si>
  <si>
    <t>Monroe County D Library</t>
  </si>
  <si>
    <t>North Baltimore Library</t>
  </si>
  <si>
    <t>Peninsula Library</t>
  </si>
  <si>
    <t>Perry Co Dist Library</t>
  </si>
  <si>
    <t>Plain City Public Library</t>
  </si>
  <si>
    <t>Marvin Memorial Library</t>
  </si>
  <si>
    <t>Mount Sterling Public Library</t>
  </si>
  <si>
    <t>Puskarich Public Library</t>
  </si>
  <si>
    <t>Ridgemont Public Library</t>
  </si>
  <si>
    <t>Rock Creek Library</t>
  </si>
  <si>
    <t>Rockford Carneg Library</t>
  </si>
  <si>
    <t>Saint Paris Pub Library</t>
  </si>
  <si>
    <t>Selover Public Library</t>
  </si>
  <si>
    <t>Seneca East Public Library</t>
  </si>
  <si>
    <t>St Marys Community Public Library</t>
  </si>
  <si>
    <t>St.Clairsville Library</t>
  </si>
  <si>
    <t>Swanton Public Library</t>
  </si>
  <si>
    <t>Wilmington Public Library</t>
  </si>
  <si>
    <t>Wornstaff Memorial Library</t>
  </si>
  <si>
    <t>Summary Information from the Statement of Activities - Cash Basis</t>
  </si>
  <si>
    <t>Governmental Activities</t>
  </si>
  <si>
    <t>All Libraries Reporting Using GASB 34 Format</t>
  </si>
  <si>
    <t>Operating</t>
  </si>
  <si>
    <t>Grants</t>
  </si>
  <si>
    <t>Cash</t>
  </si>
  <si>
    <t>Charges for</t>
  </si>
  <si>
    <t>Contributions</t>
  </si>
  <si>
    <t>and Interest</t>
  </si>
  <si>
    <t>Net</t>
  </si>
  <si>
    <t>Special and</t>
  </si>
  <si>
    <t>Changes</t>
  </si>
  <si>
    <t>Net Assets</t>
  </si>
  <si>
    <t>Receipts/</t>
  </si>
  <si>
    <t>Other Local</t>
  </si>
  <si>
    <t>Unrestricted</t>
  </si>
  <si>
    <t>Investment</t>
  </si>
  <si>
    <t>Debt</t>
  </si>
  <si>
    <t>Transfers and</t>
  </si>
  <si>
    <t>Extraordinary</t>
  </si>
  <si>
    <t>In Net</t>
  </si>
  <si>
    <t>Beginning</t>
  </si>
  <si>
    <t>(Disbursements)</t>
  </si>
  <si>
    <t>Taxes</t>
  </si>
  <si>
    <t>Earnings</t>
  </si>
  <si>
    <t>Proceeds</t>
  </si>
  <si>
    <t>Advances In/(Out)</t>
  </si>
  <si>
    <t>Items</t>
  </si>
  <si>
    <t>of Year</t>
  </si>
  <si>
    <t>End of Year</t>
  </si>
  <si>
    <t>Cleveland Heights University Public Library</t>
  </si>
  <si>
    <t>Cleveland Public Library</t>
  </si>
  <si>
    <t>Ella M. Everhard Public Library</t>
  </si>
  <si>
    <t>Ella Everhard Public Library</t>
  </si>
  <si>
    <t xml:space="preserve">Martins Ferry Public Library </t>
  </si>
  <si>
    <t xml:space="preserve">Mount Vernon &amp; Knox Public Library </t>
  </si>
  <si>
    <t>Summint</t>
  </si>
  <si>
    <t>Meigs</t>
  </si>
  <si>
    <t xml:space="preserve">Meigs County Public Library </t>
  </si>
  <si>
    <t>General Fund Receipts</t>
  </si>
  <si>
    <t>General Fund Disbursements</t>
  </si>
  <si>
    <t>Governmental Fund Receipts</t>
  </si>
  <si>
    <t>Governmental Fund Expenditures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</si>
</sst>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5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37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 horizontal="center"/>
    </xf>
    <xf numFmtId="39" fontId="4" fillId="0" borderId="0" xfId="0" applyNumberFormat="1" applyFont="1" applyAlignment="1">
      <alignment horizontal="center"/>
    </xf>
    <xf numFmtId="39" fontId="4" fillId="0" borderId="1" xfId="0" applyNumberFormat="1" applyFont="1" applyBorder="1" applyAlignment="1">
      <alignment horizontal="center" wrapText="1"/>
    </xf>
    <xf numFmtId="37" fontId="4" fillId="0" borderId="0" xfId="0" applyNumberFormat="1" applyFont="1" applyAlignment="1">
      <alignment horizontal="center"/>
    </xf>
    <xf numFmtId="37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 horizontal="center"/>
    </xf>
    <xf numFmtId="39" fontId="4" fillId="0" borderId="0" xfId="0" applyNumberFormat="1" applyFont="1" applyBorder="1" applyAlignment="1">
      <alignment horizontal="center" wrapText="1"/>
    </xf>
    <xf numFmtId="37" fontId="4" fillId="0" borderId="0" xfId="0" applyNumberFormat="1" applyFont="1" applyBorder="1" applyAlignment="1">
      <alignment/>
    </xf>
    <xf numFmtId="5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4" fillId="0" borderId="2" xfId="0" applyNumberFormat="1" applyFont="1" applyBorder="1" applyAlignment="1">
      <alignment/>
    </xf>
    <xf numFmtId="5" fontId="4" fillId="0" borderId="2" xfId="0" applyNumberFormat="1" applyFont="1" applyBorder="1" applyAlignment="1">
      <alignment/>
    </xf>
    <xf numFmtId="37" fontId="4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7" fontId="4" fillId="0" borderId="0" xfId="0" applyNumberFormat="1" applyFont="1" applyFill="1" applyAlignment="1">
      <alignment horizontal="left"/>
    </xf>
    <xf numFmtId="37" fontId="4" fillId="0" borderId="0" xfId="0" applyNumberFormat="1" applyFont="1" applyAlignment="1">
      <alignment horizontal="left"/>
    </xf>
    <xf numFmtId="39" fontId="4" fillId="0" borderId="1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"/>
  <sheetViews>
    <sheetView tabSelected="1" workbookViewId="0" topLeftCell="A1">
      <selection activeCell="M5" sqref="M5"/>
    </sheetView>
  </sheetViews>
  <sheetFormatPr defaultColWidth="9.140625" defaultRowHeight="12.75"/>
  <cols>
    <col min="1" max="1" width="27.7109375" style="13" customWidth="1"/>
    <col min="2" max="2" width="1.28515625" style="13" customWidth="1"/>
    <col min="3" max="3" width="10.7109375" style="13" customWidth="1"/>
    <col min="4" max="4" width="1.28515625" style="13" customWidth="1"/>
    <col min="5" max="5" width="10.7109375" style="14" customWidth="1"/>
    <col min="6" max="6" width="1.28515625" style="13" customWidth="1"/>
    <col min="7" max="7" width="10.7109375" style="14" customWidth="1"/>
    <col min="8" max="8" width="1.28515625" style="13" customWidth="1"/>
    <col min="9" max="9" width="10.7109375" style="14" customWidth="1"/>
    <col min="10" max="10" width="1.28515625" style="13" customWidth="1"/>
    <col min="11" max="11" width="9.7109375" style="14" customWidth="1"/>
    <col min="12" max="12" width="1.28515625" style="13" customWidth="1"/>
    <col min="13" max="13" width="10.7109375" style="14" customWidth="1"/>
    <col min="14" max="14" width="1.28515625" style="13" customWidth="1"/>
    <col min="15" max="15" width="9.7109375" style="14" customWidth="1"/>
    <col min="16" max="16" width="1.28515625" style="13" customWidth="1"/>
    <col min="17" max="17" width="10.7109375" style="14" customWidth="1"/>
    <col min="18" max="18" width="1.28515625" style="13" customWidth="1"/>
    <col min="19" max="19" width="10.7109375" style="14" customWidth="1"/>
    <col min="20" max="20" width="1.28515625" style="13" customWidth="1"/>
    <col min="21" max="21" width="9.7109375" style="14" customWidth="1"/>
    <col min="22" max="22" width="1.28515625" style="13" customWidth="1"/>
    <col min="23" max="23" width="9.7109375" style="14" customWidth="1"/>
    <col min="24" max="24" width="1.28515625" style="13" customWidth="1"/>
    <col min="25" max="25" width="9.7109375" style="14" customWidth="1"/>
    <col min="26" max="26" width="1.28515625" style="13" customWidth="1"/>
    <col min="27" max="27" width="10.7109375" style="14" customWidth="1"/>
    <col min="28" max="28" width="1.28515625" style="13" customWidth="1"/>
    <col min="29" max="29" width="10.7109375" style="14" customWidth="1"/>
    <col min="30" max="30" width="1.28515625" style="13" customWidth="1"/>
    <col min="31" max="31" width="10.7109375" style="14" customWidth="1"/>
    <col min="32" max="32" width="1.28515625" style="13" customWidth="1"/>
    <col min="33" max="33" width="10.7109375" style="14" customWidth="1"/>
    <col min="34" max="16384" width="9.140625" style="13" customWidth="1"/>
  </cols>
  <sheetData>
    <row r="1" spans="1:33" ht="12" customHeight="1">
      <c r="A1" s="40" t="s">
        <v>566</v>
      </c>
      <c r="B1" s="40"/>
      <c r="C1" s="40"/>
      <c r="D1" s="40"/>
      <c r="E1" s="40"/>
      <c r="F1" s="8"/>
      <c r="G1" s="17"/>
      <c r="H1" s="8"/>
      <c r="I1" s="17"/>
      <c r="J1" s="8"/>
      <c r="K1" s="17"/>
      <c r="L1" s="8"/>
      <c r="M1" s="17"/>
      <c r="N1" s="8"/>
      <c r="O1" s="17"/>
      <c r="P1" s="8"/>
      <c r="Q1" s="17"/>
      <c r="R1" s="8"/>
      <c r="S1" s="17"/>
      <c r="T1" s="8"/>
      <c r="U1" s="17"/>
      <c r="V1" s="8"/>
      <c r="W1" s="17"/>
      <c r="X1" s="8"/>
      <c r="Y1" s="17"/>
      <c r="Z1" s="8"/>
      <c r="AA1" s="17"/>
      <c r="AB1" s="8"/>
      <c r="AC1" s="17"/>
      <c r="AD1" s="8"/>
      <c r="AE1" s="17"/>
      <c r="AF1" s="8"/>
      <c r="AG1" s="17"/>
    </row>
    <row r="2" spans="1:33" ht="12" customHeight="1">
      <c r="A2" s="3" t="s">
        <v>567</v>
      </c>
      <c r="B2" s="3"/>
      <c r="C2" s="3"/>
      <c r="D2" s="3"/>
      <c r="E2" s="17"/>
      <c r="F2" s="3"/>
      <c r="G2" s="17"/>
      <c r="H2" s="3"/>
      <c r="I2" s="17"/>
      <c r="J2" s="3"/>
      <c r="K2" s="17"/>
      <c r="L2" s="3"/>
      <c r="M2" s="17"/>
      <c r="N2" s="3"/>
      <c r="O2" s="17"/>
      <c r="P2" s="3"/>
      <c r="Q2" s="17"/>
      <c r="R2" s="3"/>
      <c r="S2" s="17"/>
      <c r="T2" s="3"/>
      <c r="U2" s="17"/>
      <c r="V2" s="3"/>
      <c r="W2" s="17"/>
      <c r="X2" s="3"/>
      <c r="Y2" s="17"/>
      <c r="Z2" s="3"/>
      <c r="AA2" s="17"/>
      <c r="AB2" s="3"/>
      <c r="AC2" s="17"/>
      <c r="AD2" s="3"/>
      <c r="AE2" s="17"/>
      <c r="AF2" s="3"/>
      <c r="AG2" s="17"/>
    </row>
    <row r="3" spans="1:33" ht="12" customHeight="1">
      <c r="A3" s="3" t="s">
        <v>515</v>
      </c>
      <c r="B3" s="3"/>
      <c r="C3" s="3"/>
      <c r="D3" s="3"/>
      <c r="E3" s="17"/>
      <c r="F3" s="3"/>
      <c r="G3" s="17"/>
      <c r="H3" s="3"/>
      <c r="I3" s="17"/>
      <c r="J3" s="3"/>
      <c r="K3" s="17"/>
      <c r="L3" s="3"/>
      <c r="M3" s="17"/>
      <c r="N3" s="3"/>
      <c r="O3" s="17"/>
      <c r="P3" s="3"/>
      <c r="Q3" s="17"/>
      <c r="R3" s="3"/>
      <c r="S3" s="17"/>
      <c r="T3" s="3"/>
      <c r="U3" s="17"/>
      <c r="V3" s="3"/>
      <c r="W3" s="17"/>
      <c r="X3" s="3"/>
      <c r="Y3" s="17"/>
      <c r="Z3" s="3"/>
      <c r="AA3" s="17"/>
      <c r="AB3" s="3"/>
      <c r="AC3" s="17"/>
      <c r="AD3" s="3"/>
      <c r="AE3" s="17"/>
      <c r="AF3" s="3"/>
      <c r="AG3" s="17"/>
    </row>
    <row r="4" spans="1:33" ht="12" customHeight="1">
      <c r="A4" s="3"/>
      <c r="B4" s="3"/>
      <c r="C4" s="3"/>
      <c r="D4" s="3"/>
      <c r="E4" s="17"/>
      <c r="F4" s="3"/>
      <c r="G4" s="17"/>
      <c r="H4" s="3"/>
      <c r="I4" s="17"/>
      <c r="J4" s="3"/>
      <c r="K4" s="17"/>
      <c r="L4" s="3"/>
      <c r="M4" s="17"/>
      <c r="N4" s="3"/>
      <c r="O4" s="17"/>
      <c r="P4" s="3"/>
      <c r="Q4" s="17"/>
      <c r="R4" s="3"/>
      <c r="S4" s="17"/>
      <c r="T4" s="3"/>
      <c r="U4" s="17"/>
      <c r="V4" s="3"/>
      <c r="W4" s="17"/>
      <c r="X4" s="3"/>
      <c r="Y4" s="17"/>
      <c r="Z4" s="3"/>
      <c r="AA4" s="17"/>
      <c r="AB4" s="3"/>
      <c r="AC4" s="17"/>
      <c r="AD4" s="3"/>
      <c r="AE4" s="17"/>
      <c r="AF4" s="3"/>
      <c r="AG4" s="17"/>
    </row>
    <row r="5" spans="1:33" ht="12" customHeight="1">
      <c r="A5" s="2" t="s">
        <v>568</v>
      </c>
      <c r="B5" s="3"/>
      <c r="C5" s="3"/>
      <c r="D5" s="3"/>
      <c r="E5" s="17"/>
      <c r="F5" s="3"/>
      <c r="G5" s="17"/>
      <c r="H5" s="3"/>
      <c r="I5" s="17"/>
      <c r="J5" s="3"/>
      <c r="K5" s="17"/>
      <c r="L5" s="3"/>
      <c r="M5" s="17"/>
      <c r="N5" s="3"/>
      <c r="O5" s="17"/>
      <c r="P5" s="3"/>
      <c r="Q5" s="17"/>
      <c r="R5" s="3"/>
      <c r="S5" s="17"/>
      <c r="T5" s="3"/>
      <c r="U5" s="17"/>
      <c r="V5" s="3"/>
      <c r="W5" s="17"/>
      <c r="X5" s="3"/>
      <c r="Y5" s="17"/>
      <c r="Z5" s="3"/>
      <c r="AA5" s="17"/>
      <c r="AB5" s="3"/>
      <c r="AC5" s="17"/>
      <c r="AD5" s="3"/>
      <c r="AE5" s="17"/>
      <c r="AF5" s="3"/>
      <c r="AG5" s="17"/>
    </row>
    <row r="6" spans="1:33" ht="12" customHeight="1">
      <c r="A6" s="3"/>
      <c r="B6" s="3"/>
      <c r="C6" s="3"/>
      <c r="D6" s="3"/>
      <c r="E6" s="17"/>
      <c r="F6" s="3"/>
      <c r="G6" s="17"/>
      <c r="H6" s="3"/>
      <c r="I6" s="17"/>
      <c r="J6" s="3"/>
      <c r="K6" s="17"/>
      <c r="L6" s="3"/>
      <c r="M6" s="17"/>
      <c r="N6" s="3"/>
      <c r="O6" s="17"/>
      <c r="P6" s="3"/>
      <c r="Q6" s="17"/>
      <c r="R6" s="3"/>
      <c r="S6" s="17"/>
      <c r="T6" s="3"/>
      <c r="U6" s="17"/>
      <c r="V6" s="3"/>
      <c r="W6" s="17"/>
      <c r="X6" s="3"/>
      <c r="Y6" s="17"/>
      <c r="Z6" s="3"/>
      <c r="AA6" s="17"/>
      <c r="AB6" s="3"/>
      <c r="AC6" s="17"/>
      <c r="AD6" s="3"/>
      <c r="AE6" s="17"/>
      <c r="AF6" s="3"/>
      <c r="AG6" s="17"/>
    </row>
    <row r="7" spans="1:33" ht="12" customHeight="1">
      <c r="A7" s="3"/>
      <c r="B7" s="3"/>
      <c r="C7" s="3"/>
      <c r="D7" s="3"/>
      <c r="E7" s="15"/>
      <c r="F7" s="15"/>
      <c r="G7" s="41" t="s">
        <v>516</v>
      </c>
      <c r="H7" s="41"/>
      <c r="I7" s="41"/>
      <c r="J7" s="41"/>
      <c r="K7" s="41"/>
      <c r="L7" s="3"/>
      <c r="M7" s="17"/>
      <c r="N7" s="3"/>
      <c r="O7" s="41" t="s">
        <v>517</v>
      </c>
      <c r="P7" s="41"/>
      <c r="Q7" s="41"/>
      <c r="R7" s="41"/>
      <c r="S7" s="41"/>
      <c r="T7" s="41"/>
      <c r="U7" s="41"/>
      <c r="V7" s="3"/>
      <c r="W7" s="17"/>
      <c r="X7" s="3"/>
      <c r="Y7" s="17"/>
      <c r="Z7" s="3"/>
      <c r="AA7" s="17"/>
      <c r="AB7" s="3"/>
      <c r="AC7" s="17"/>
      <c r="AD7" s="3"/>
      <c r="AE7" s="17"/>
      <c r="AF7" s="3"/>
      <c r="AG7" s="17"/>
    </row>
    <row r="8" spans="1:33" ht="12" customHeight="1">
      <c r="A8" s="3"/>
      <c r="B8" s="3"/>
      <c r="C8" s="3"/>
      <c r="D8" s="3"/>
      <c r="E8" s="23"/>
      <c r="F8" s="23"/>
      <c r="G8" s="23"/>
      <c r="H8" s="23"/>
      <c r="I8" s="23" t="s">
        <v>569</v>
      </c>
      <c r="J8" s="23"/>
      <c r="K8" s="23"/>
      <c r="L8" s="20"/>
      <c r="M8" s="17"/>
      <c r="N8" s="20"/>
      <c r="O8" s="25"/>
      <c r="P8" s="25"/>
      <c r="Q8" s="25"/>
      <c r="R8" s="25"/>
      <c r="S8" s="25"/>
      <c r="T8" s="25"/>
      <c r="U8" s="25"/>
      <c r="V8" s="25"/>
      <c r="W8" s="25"/>
      <c r="X8" s="20"/>
      <c r="Y8" s="17"/>
      <c r="Z8" s="20"/>
      <c r="AA8" s="17"/>
      <c r="AB8" s="20"/>
      <c r="AC8" s="17"/>
      <c r="AD8" s="20"/>
      <c r="AE8" s="17"/>
      <c r="AF8" s="20"/>
      <c r="AG8" s="17"/>
    </row>
    <row r="9" spans="4:34" ht="12" customHeight="1">
      <c r="D9" s="22"/>
      <c r="E9" s="23"/>
      <c r="F9" s="23"/>
      <c r="G9" s="23"/>
      <c r="H9" s="23"/>
      <c r="I9" s="23" t="s">
        <v>570</v>
      </c>
      <c r="J9" s="23"/>
      <c r="K9" s="23"/>
      <c r="L9" s="22"/>
      <c r="M9" s="23" t="s">
        <v>575</v>
      </c>
      <c r="N9" s="23"/>
      <c r="O9" s="23" t="s">
        <v>122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2"/>
      <c r="AA9" s="23" t="s">
        <v>576</v>
      </c>
      <c r="AB9" s="23"/>
      <c r="AC9" s="23" t="s">
        <v>577</v>
      </c>
      <c r="AD9" s="23"/>
      <c r="AE9" s="23" t="s">
        <v>578</v>
      </c>
      <c r="AF9" s="23"/>
      <c r="AG9" s="23" t="s">
        <v>575</v>
      </c>
      <c r="AH9" s="23"/>
    </row>
    <row r="10" spans="1:34" ht="12" customHeight="1">
      <c r="A10" s="21"/>
      <c r="B10" s="21"/>
      <c r="C10" s="22"/>
      <c r="D10" s="22"/>
      <c r="E10" s="23" t="s">
        <v>571</v>
      </c>
      <c r="F10" s="23"/>
      <c r="G10" s="23" t="s">
        <v>572</v>
      </c>
      <c r="H10" s="23"/>
      <c r="I10" s="23" t="s">
        <v>573</v>
      </c>
      <c r="J10" s="23"/>
      <c r="K10" s="23" t="s">
        <v>121</v>
      </c>
      <c r="L10" s="22"/>
      <c r="M10" s="23" t="s">
        <v>579</v>
      </c>
      <c r="N10" s="23"/>
      <c r="O10" s="23" t="s">
        <v>580</v>
      </c>
      <c r="P10" s="23"/>
      <c r="Q10" s="23" t="s">
        <v>581</v>
      </c>
      <c r="R10" s="23"/>
      <c r="S10" s="23" t="s">
        <v>582</v>
      </c>
      <c r="T10" s="23"/>
      <c r="U10" s="23"/>
      <c r="V10" s="23"/>
      <c r="W10" s="23" t="s">
        <v>583</v>
      </c>
      <c r="X10" s="23"/>
      <c r="Y10" s="23" t="s">
        <v>584</v>
      </c>
      <c r="Z10" s="22"/>
      <c r="AA10" s="23" t="s">
        <v>585</v>
      </c>
      <c r="AB10" s="23"/>
      <c r="AC10" s="23" t="s">
        <v>586</v>
      </c>
      <c r="AD10" s="23"/>
      <c r="AE10" s="23" t="s">
        <v>587</v>
      </c>
      <c r="AF10" s="23"/>
      <c r="AG10" s="23" t="s">
        <v>123</v>
      </c>
      <c r="AH10" s="23"/>
    </row>
    <row r="11" spans="1:34" ht="12" customHeight="1">
      <c r="A11" s="7" t="s">
        <v>99</v>
      </c>
      <c r="B11" s="7"/>
      <c r="C11" s="18" t="s">
        <v>11</v>
      </c>
      <c r="D11" s="22"/>
      <c r="E11" s="23"/>
      <c r="F11" s="24"/>
      <c r="G11" s="16" t="s">
        <v>120</v>
      </c>
      <c r="H11" s="24"/>
      <c r="I11" s="16" t="s">
        <v>574</v>
      </c>
      <c r="J11" s="24"/>
      <c r="K11" s="16" t="s">
        <v>570</v>
      </c>
      <c r="L11" s="22"/>
      <c r="M11" s="16" t="s">
        <v>588</v>
      </c>
      <c r="N11" s="24"/>
      <c r="O11" s="16" t="s">
        <v>589</v>
      </c>
      <c r="P11" s="24"/>
      <c r="Q11" s="16" t="s">
        <v>570</v>
      </c>
      <c r="R11" s="24"/>
      <c r="S11" s="16" t="s">
        <v>590</v>
      </c>
      <c r="T11" s="24"/>
      <c r="U11" s="16" t="s">
        <v>0</v>
      </c>
      <c r="V11" s="24"/>
      <c r="W11" s="16" t="s">
        <v>591</v>
      </c>
      <c r="X11" s="24"/>
      <c r="Y11" s="16" t="s">
        <v>592</v>
      </c>
      <c r="Z11" s="22"/>
      <c r="AA11" s="16" t="s">
        <v>593</v>
      </c>
      <c r="AB11" s="24"/>
      <c r="AC11" s="16" t="s">
        <v>123</v>
      </c>
      <c r="AD11" s="16"/>
      <c r="AE11" s="16" t="s">
        <v>594</v>
      </c>
      <c r="AF11" s="16"/>
      <c r="AG11" s="16" t="s">
        <v>595</v>
      </c>
      <c r="AH11" s="24"/>
    </row>
    <row r="12" spans="1:33" ht="12" customHeight="1">
      <c r="A12" s="30" t="s">
        <v>519</v>
      </c>
      <c r="B12" s="30"/>
      <c r="C12" s="29" t="s">
        <v>133</v>
      </c>
      <c r="D12" s="29"/>
      <c r="E12" s="31">
        <v>947832.31</v>
      </c>
      <c r="F12" s="29"/>
      <c r="G12" s="31">
        <v>32086.6</v>
      </c>
      <c r="H12" s="29"/>
      <c r="I12" s="31">
        <v>0</v>
      </c>
      <c r="J12" s="29"/>
      <c r="K12" s="31">
        <v>0</v>
      </c>
      <c r="L12" s="29"/>
      <c r="M12" s="31">
        <v>-915745.71</v>
      </c>
      <c r="N12" s="29"/>
      <c r="O12" s="31">
        <v>0</v>
      </c>
      <c r="P12" s="29"/>
      <c r="Q12" s="31">
        <v>998049.5</v>
      </c>
      <c r="R12" s="29"/>
      <c r="S12" s="31">
        <v>78656.45</v>
      </c>
      <c r="T12" s="29"/>
      <c r="U12" s="31">
        <v>1262.07</v>
      </c>
      <c r="V12" s="29"/>
      <c r="W12" s="31">
        <v>0</v>
      </c>
      <c r="X12" s="29"/>
      <c r="Y12" s="31">
        <v>0</v>
      </c>
      <c r="Z12" s="29"/>
      <c r="AA12" s="31">
        <v>0</v>
      </c>
      <c r="AB12" s="29"/>
      <c r="AC12" s="31">
        <v>162222.31</v>
      </c>
      <c r="AD12" s="29"/>
      <c r="AE12" s="31">
        <v>1531516.26</v>
      </c>
      <c r="AF12" s="29"/>
      <c r="AG12" s="31">
        <v>1693738.57</v>
      </c>
    </row>
    <row r="13" spans="1:33" ht="12" customHeight="1">
      <c r="A13" s="19" t="s">
        <v>164</v>
      </c>
      <c r="B13" s="19"/>
      <c r="C13" s="22" t="s">
        <v>134</v>
      </c>
      <c r="D13" s="22"/>
      <c r="E13" s="28">
        <v>318297.42</v>
      </c>
      <c r="F13" s="22"/>
      <c r="G13" s="28">
        <v>0</v>
      </c>
      <c r="H13" s="22"/>
      <c r="I13" s="28">
        <v>0</v>
      </c>
      <c r="J13" s="22"/>
      <c r="K13" s="28">
        <v>0</v>
      </c>
      <c r="L13" s="22"/>
      <c r="M13" s="28">
        <v>-318297.42</v>
      </c>
      <c r="N13" s="22"/>
      <c r="O13" s="28">
        <v>0</v>
      </c>
      <c r="P13" s="22"/>
      <c r="Q13" s="28">
        <v>314641.35</v>
      </c>
      <c r="R13" s="22"/>
      <c r="S13" s="28">
        <v>29530.16</v>
      </c>
      <c r="T13" s="22"/>
      <c r="U13" s="28">
        <v>10319.06</v>
      </c>
      <c r="V13" s="22"/>
      <c r="W13" s="28">
        <v>0</v>
      </c>
      <c r="X13" s="22"/>
      <c r="Y13" s="28">
        <v>0</v>
      </c>
      <c r="Z13" s="22"/>
      <c r="AA13" s="28">
        <v>0</v>
      </c>
      <c r="AB13" s="22"/>
      <c r="AC13" s="28">
        <v>36193.15</v>
      </c>
      <c r="AD13" s="22"/>
      <c r="AE13" s="28">
        <v>754267.81</v>
      </c>
      <c r="AF13" s="22"/>
      <c r="AG13" s="28">
        <v>790460.96</v>
      </c>
    </row>
    <row r="14" spans="1:33" ht="12" customHeight="1">
      <c r="A14" s="22" t="s">
        <v>169</v>
      </c>
      <c r="B14" s="22"/>
      <c r="C14" s="22" t="s">
        <v>150</v>
      </c>
      <c r="D14" s="22"/>
      <c r="E14" s="28">
        <v>1001916.55</v>
      </c>
      <c r="F14" s="22"/>
      <c r="G14" s="28">
        <v>29426.95</v>
      </c>
      <c r="H14" s="22"/>
      <c r="I14" s="28">
        <v>54231.04</v>
      </c>
      <c r="J14" s="22"/>
      <c r="K14" s="28">
        <v>0</v>
      </c>
      <c r="L14" s="22"/>
      <c r="M14" s="28">
        <v>-918258.56</v>
      </c>
      <c r="N14" s="22"/>
      <c r="O14" s="28">
        <v>282141.23</v>
      </c>
      <c r="P14" s="22"/>
      <c r="Q14" s="28">
        <v>774044.98</v>
      </c>
      <c r="R14" s="22"/>
      <c r="S14" s="28">
        <v>102579.13</v>
      </c>
      <c r="T14" s="22"/>
      <c r="U14" s="28">
        <v>3001.32</v>
      </c>
      <c r="V14" s="22"/>
      <c r="W14" s="28">
        <v>0</v>
      </c>
      <c r="X14" s="22"/>
      <c r="Y14" s="28">
        <v>0</v>
      </c>
      <c r="Z14" s="22"/>
      <c r="AA14" s="28">
        <v>0</v>
      </c>
      <c r="AB14" s="22"/>
      <c r="AC14" s="28">
        <v>243508.1</v>
      </c>
      <c r="AD14" s="22"/>
      <c r="AE14" s="28">
        <v>1965618.45</v>
      </c>
      <c r="AF14" s="22"/>
      <c r="AG14" s="28">
        <v>2209126.55</v>
      </c>
    </row>
    <row r="15" spans="1:33" ht="12" customHeight="1">
      <c r="A15" s="19" t="s">
        <v>520</v>
      </c>
      <c r="B15" s="19"/>
      <c r="C15" s="22" t="s">
        <v>135</v>
      </c>
      <c r="D15" s="22"/>
      <c r="E15" s="28">
        <v>429591.35</v>
      </c>
      <c r="F15" s="22"/>
      <c r="G15" s="28">
        <v>16341.99</v>
      </c>
      <c r="H15" s="22"/>
      <c r="I15" s="28">
        <v>217</v>
      </c>
      <c r="J15" s="22"/>
      <c r="K15" s="28">
        <v>0</v>
      </c>
      <c r="L15" s="22"/>
      <c r="M15" s="28">
        <v>-413032.36</v>
      </c>
      <c r="N15" s="22"/>
      <c r="O15" s="28">
        <v>96038.04</v>
      </c>
      <c r="P15" s="22"/>
      <c r="Q15" s="28">
        <v>298892.36</v>
      </c>
      <c r="R15" s="22"/>
      <c r="S15" s="28">
        <v>15500.33</v>
      </c>
      <c r="T15" s="22"/>
      <c r="U15" s="28">
        <v>4161.68</v>
      </c>
      <c r="V15" s="22"/>
      <c r="W15" s="28">
        <v>0</v>
      </c>
      <c r="X15" s="22"/>
      <c r="Y15" s="28">
        <v>0</v>
      </c>
      <c r="Z15" s="22"/>
      <c r="AA15" s="28">
        <v>1350</v>
      </c>
      <c r="AB15" s="22"/>
      <c r="AC15" s="28">
        <v>2910.05</v>
      </c>
      <c r="AD15" s="22"/>
      <c r="AE15" s="28">
        <v>431544.57</v>
      </c>
      <c r="AF15" s="22"/>
      <c r="AG15" s="28">
        <v>434454.62</v>
      </c>
    </row>
    <row r="16" spans="1:33" ht="12" customHeight="1">
      <c r="A16" s="19" t="s">
        <v>521</v>
      </c>
      <c r="B16" s="19"/>
      <c r="C16" s="22" t="s">
        <v>136</v>
      </c>
      <c r="D16" s="22"/>
      <c r="E16" s="28">
        <v>1725235.86</v>
      </c>
      <c r="F16" s="22"/>
      <c r="G16" s="28">
        <v>40614.24</v>
      </c>
      <c r="H16" s="22"/>
      <c r="I16" s="28">
        <v>8536.8</v>
      </c>
      <c r="J16" s="22"/>
      <c r="K16" s="28">
        <v>0</v>
      </c>
      <c r="L16" s="22"/>
      <c r="M16" s="28">
        <v>-1676084.82</v>
      </c>
      <c r="N16" s="22"/>
      <c r="O16" s="28">
        <v>1593302.01</v>
      </c>
      <c r="P16" s="22"/>
      <c r="Q16" s="28">
        <v>1350.74</v>
      </c>
      <c r="R16" s="22"/>
      <c r="S16" s="28">
        <v>79963.71</v>
      </c>
      <c r="T16" s="22"/>
      <c r="U16" s="28">
        <v>89663.84</v>
      </c>
      <c r="V16" s="22"/>
      <c r="W16" s="28">
        <v>130000</v>
      </c>
      <c r="X16" s="22"/>
      <c r="Y16" s="28">
        <v>0</v>
      </c>
      <c r="Z16" s="22"/>
      <c r="AA16" s="28">
        <v>0</v>
      </c>
      <c r="AB16" s="22"/>
      <c r="AC16" s="28">
        <v>218195.48</v>
      </c>
      <c r="AD16" s="22"/>
      <c r="AE16" s="28">
        <v>2551549.06</v>
      </c>
      <c r="AF16" s="22"/>
      <c r="AG16" s="28">
        <v>2769744.54</v>
      </c>
    </row>
    <row r="17" spans="1:33" ht="12" customHeight="1">
      <c r="A17" s="19" t="s">
        <v>522</v>
      </c>
      <c r="B17" s="19"/>
      <c r="C17" s="22" t="s">
        <v>137</v>
      </c>
      <c r="D17" s="22"/>
      <c r="E17" s="28">
        <v>1213384.69</v>
      </c>
      <c r="F17" s="22"/>
      <c r="G17" s="28">
        <v>19822.37</v>
      </c>
      <c r="H17" s="22"/>
      <c r="I17" s="28">
        <v>0</v>
      </c>
      <c r="J17" s="22"/>
      <c r="K17" s="28">
        <v>0</v>
      </c>
      <c r="L17" s="22"/>
      <c r="M17" s="28">
        <v>-1193562.32</v>
      </c>
      <c r="N17" s="22"/>
      <c r="O17" s="28">
        <v>0</v>
      </c>
      <c r="P17" s="22"/>
      <c r="Q17" s="28">
        <v>1242121.37</v>
      </c>
      <c r="R17" s="22"/>
      <c r="S17" s="28">
        <v>108594.69</v>
      </c>
      <c r="T17" s="22"/>
      <c r="U17" s="28">
        <v>38737.74</v>
      </c>
      <c r="V17" s="22"/>
      <c r="W17" s="28">
        <v>0</v>
      </c>
      <c r="X17" s="22"/>
      <c r="Y17" s="28">
        <v>0</v>
      </c>
      <c r="Z17" s="22"/>
      <c r="AA17" s="28">
        <v>0</v>
      </c>
      <c r="AB17" s="22"/>
      <c r="AC17" s="28">
        <v>195891.48</v>
      </c>
      <c r="AD17" s="22"/>
      <c r="AE17" s="28">
        <v>2742213.96</v>
      </c>
      <c r="AF17" s="22"/>
      <c r="AG17" s="28">
        <v>2938105.44</v>
      </c>
    </row>
    <row r="18" spans="1:33" ht="12" customHeight="1">
      <c r="A18" s="19" t="s">
        <v>523</v>
      </c>
      <c r="B18" s="22"/>
      <c r="C18" s="22" t="s">
        <v>113</v>
      </c>
      <c r="D18" s="22"/>
      <c r="E18" s="28">
        <v>1362709.98</v>
      </c>
      <c r="F18" s="22"/>
      <c r="G18" s="28">
        <v>33734.98</v>
      </c>
      <c r="H18" s="22"/>
      <c r="I18" s="28">
        <v>1455</v>
      </c>
      <c r="J18" s="22"/>
      <c r="K18" s="28">
        <v>0</v>
      </c>
      <c r="L18" s="22"/>
      <c r="M18" s="28">
        <v>-1327520</v>
      </c>
      <c r="N18" s="22"/>
      <c r="O18" s="28">
        <v>561415.72</v>
      </c>
      <c r="P18" s="22"/>
      <c r="Q18" s="28">
        <v>1100944.08</v>
      </c>
      <c r="R18" s="22"/>
      <c r="S18" s="28">
        <v>21019.66</v>
      </c>
      <c r="T18" s="22"/>
      <c r="U18" s="28">
        <v>2961.34</v>
      </c>
      <c r="V18" s="22"/>
      <c r="W18" s="28">
        <v>0</v>
      </c>
      <c r="X18" s="22"/>
      <c r="Y18" s="28">
        <v>0</v>
      </c>
      <c r="Z18" s="22"/>
      <c r="AA18" s="28">
        <v>881</v>
      </c>
      <c r="AB18" s="22"/>
      <c r="AC18" s="28">
        <v>359701.8</v>
      </c>
      <c r="AD18" s="22"/>
      <c r="AE18" s="28">
        <v>719215.02</v>
      </c>
      <c r="AF18" s="22"/>
      <c r="AG18" s="28">
        <v>1078916.82</v>
      </c>
    </row>
    <row r="19" spans="1:33" ht="12" customHeight="1">
      <c r="A19" s="19" t="s">
        <v>524</v>
      </c>
      <c r="B19" s="22"/>
      <c r="C19" s="22" t="s">
        <v>104</v>
      </c>
      <c r="D19" s="22"/>
      <c r="E19" s="28">
        <v>539478.81</v>
      </c>
      <c r="F19" s="22"/>
      <c r="G19" s="28">
        <v>10159.72</v>
      </c>
      <c r="H19" s="22"/>
      <c r="I19" s="28">
        <v>0</v>
      </c>
      <c r="J19" s="22"/>
      <c r="K19" s="28">
        <v>0</v>
      </c>
      <c r="L19" s="22"/>
      <c r="M19" s="28">
        <v>-529319.09</v>
      </c>
      <c r="N19" s="22"/>
      <c r="O19" s="28">
        <v>0</v>
      </c>
      <c r="P19" s="22"/>
      <c r="Q19" s="28">
        <v>516611.46</v>
      </c>
      <c r="R19" s="22"/>
      <c r="S19" s="28">
        <v>42632.07</v>
      </c>
      <c r="T19" s="22"/>
      <c r="U19" s="28">
        <v>2675.96</v>
      </c>
      <c r="V19" s="22"/>
      <c r="W19" s="28">
        <v>0</v>
      </c>
      <c r="X19" s="22"/>
      <c r="Y19" s="28">
        <v>0</v>
      </c>
      <c r="Z19" s="22"/>
      <c r="AA19" s="28">
        <v>0</v>
      </c>
      <c r="AB19" s="22"/>
      <c r="AC19" s="28">
        <v>32600.4</v>
      </c>
      <c r="AD19" s="22"/>
      <c r="AE19" s="28">
        <v>1040864.88</v>
      </c>
      <c r="AF19" s="22"/>
      <c r="AG19" s="28">
        <v>1073465.28</v>
      </c>
    </row>
    <row r="20" spans="1:33" ht="12" customHeight="1">
      <c r="A20" s="19" t="s">
        <v>525</v>
      </c>
      <c r="B20" s="22"/>
      <c r="C20" s="22" t="s">
        <v>139</v>
      </c>
      <c r="D20" s="22"/>
      <c r="E20" s="28">
        <v>228924.46</v>
      </c>
      <c r="F20" s="22"/>
      <c r="G20" s="28">
        <v>4048.63</v>
      </c>
      <c r="H20" s="22"/>
      <c r="I20" s="28">
        <v>0</v>
      </c>
      <c r="J20" s="22"/>
      <c r="K20" s="28">
        <v>0</v>
      </c>
      <c r="L20" s="22"/>
      <c r="M20" s="28">
        <v>-224875.83</v>
      </c>
      <c r="N20" s="22"/>
      <c r="O20" s="28">
        <v>0</v>
      </c>
      <c r="P20" s="22"/>
      <c r="Q20" s="28">
        <v>230103.64</v>
      </c>
      <c r="R20" s="22"/>
      <c r="S20" s="28">
        <v>13559.75</v>
      </c>
      <c r="T20" s="22"/>
      <c r="U20" s="28">
        <v>454.79</v>
      </c>
      <c r="V20" s="22"/>
      <c r="W20" s="28">
        <v>0</v>
      </c>
      <c r="X20" s="22"/>
      <c r="Y20" s="28">
        <v>0</v>
      </c>
      <c r="Z20" s="22"/>
      <c r="AA20" s="28">
        <v>0</v>
      </c>
      <c r="AB20" s="22"/>
      <c r="AC20" s="28">
        <v>19242.35</v>
      </c>
      <c r="AD20" s="22"/>
      <c r="AE20" s="28">
        <v>261412.01</v>
      </c>
      <c r="AF20" s="22"/>
      <c r="AG20" s="28">
        <v>280654.36</v>
      </c>
    </row>
    <row r="21" spans="1:33" ht="12" customHeight="1">
      <c r="A21" s="19" t="s">
        <v>125</v>
      </c>
      <c r="B21" s="22"/>
      <c r="C21" s="22" t="s">
        <v>140</v>
      </c>
      <c r="D21" s="22"/>
      <c r="E21" s="28">
        <v>932927.06</v>
      </c>
      <c r="F21" s="22"/>
      <c r="G21" s="28">
        <v>35931.65</v>
      </c>
      <c r="H21" s="22"/>
      <c r="I21" s="28">
        <v>9892</v>
      </c>
      <c r="J21" s="22"/>
      <c r="K21" s="28">
        <v>0</v>
      </c>
      <c r="L21" s="22"/>
      <c r="M21" s="28">
        <v>-887103.41</v>
      </c>
      <c r="N21" s="22"/>
      <c r="O21" s="28">
        <v>0</v>
      </c>
      <c r="P21" s="22"/>
      <c r="Q21" s="28">
        <v>869326.6</v>
      </c>
      <c r="R21" s="22"/>
      <c r="S21" s="28">
        <v>7787.29</v>
      </c>
      <c r="T21" s="22"/>
      <c r="U21" s="28">
        <v>5516.47</v>
      </c>
      <c r="V21" s="22"/>
      <c r="W21" s="28">
        <v>0</v>
      </c>
      <c r="X21" s="22"/>
      <c r="Y21" s="28">
        <v>0</v>
      </c>
      <c r="Z21" s="22"/>
      <c r="AA21" s="28">
        <v>0</v>
      </c>
      <c r="AB21" s="22"/>
      <c r="AC21" s="28">
        <v>-4473.05</v>
      </c>
      <c r="AD21" s="22"/>
      <c r="AE21" s="28">
        <v>219738.56</v>
      </c>
      <c r="AF21" s="22"/>
      <c r="AG21" s="28">
        <v>215265.51</v>
      </c>
    </row>
    <row r="22" spans="1:33" ht="12" customHeight="1">
      <c r="A22" s="19" t="s">
        <v>526</v>
      </c>
      <c r="B22" s="22"/>
      <c r="C22" s="22" t="s">
        <v>141</v>
      </c>
      <c r="D22" s="22"/>
      <c r="E22" s="28">
        <v>777975.18</v>
      </c>
      <c r="F22" s="22"/>
      <c r="G22" s="28">
        <v>27371.34</v>
      </c>
      <c r="H22" s="22"/>
      <c r="I22" s="28">
        <v>0</v>
      </c>
      <c r="J22" s="22"/>
      <c r="K22" s="28">
        <v>0</v>
      </c>
      <c r="L22" s="22"/>
      <c r="M22" s="28">
        <v>-750603.84</v>
      </c>
      <c r="N22" s="22"/>
      <c r="O22" s="28">
        <v>0</v>
      </c>
      <c r="P22" s="22"/>
      <c r="Q22" s="28">
        <v>749681.71</v>
      </c>
      <c r="R22" s="22"/>
      <c r="S22" s="28">
        <v>37778.87</v>
      </c>
      <c r="T22" s="22"/>
      <c r="U22" s="28">
        <v>3043.47</v>
      </c>
      <c r="V22" s="22"/>
      <c r="W22" s="28">
        <v>0</v>
      </c>
      <c r="X22" s="22"/>
      <c r="Y22" s="28">
        <v>0</v>
      </c>
      <c r="Z22" s="22"/>
      <c r="AA22" s="28">
        <v>0</v>
      </c>
      <c r="AB22" s="22"/>
      <c r="AC22" s="28">
        <v>39900.21</v>
      </c>
      <c r="AD22" s="22"/>
      <c r="AE22" s="28">
        <v>1262121.05</v>
      </c>
      <c r="AF22" s="22"/>
      <c r="AG22" s="28">
        <v>1302021.26</v>
      </c>
    </row>
    <row r="23" spans="1:33" ht="12" customHeight="1">
      <c r="A23" s="19" t="s">
        <v>527</v>
      </c>
      <c r="B23" s="22"/>
      <c r="C23" s="22" t="s">
        <v>142</v>
      </c>
      <c r="D23" s="22"/>
      <c r="E23" s="28">
        <v>3179926.8</v>
      </c>
      <c r="F23" s="22"/>
      <c r="G23" s="28">
        <v>67701.57</v>
      </c>
      <c r="H23" s="22"/>
      <c r="I23" s="28">
        <v>8701.85</v>
      </c>
      <c r="J23" s="22"/>
      <c r="K23" s="28">
        <v>75701.31</v>
      </c>
      <c r="L23" s="22"/>
      <c r="M23" s="28">
        <v>-3027822.07</v>
      </c>
      <c r="N23" s="22"/>
      <c r="O23" s="28">
        <v>0</v>
      </c>
      <c r="P23" s="22"/>
      <c r="Q23" s="28">
        <v>2684795.67</v>
      </c>
      <c r="R23" s="22"/>
      <c r="S23" s="28">
        <v>45025.72</v>
      </c>
      <c r="T23" s="22"/>
      <c r="U23" s="28">
        <v>11620.04</v>
      </c>
      <c r="V23" s="22"/>
      <c r="W23" s="28">
        <v>0</v>
      </c>
      <c r="X23" s="22"/>
      <c r="Y23" s="28">
        <v>0</v>
      </c>
      <c r="Z23" s="22"/>
      <c r="AA23" s="28">
        <v>0</v>
      </c>
      <c r="AB23" s="22"/>
      <c r="AC23" s="28">
        <v>-286380.64</v>
      </c>
      <c r="AD23" s="22"/>
      <c r="AE23" s="28">
        <v>1004103.3</v>
      </c>
      <c r="AF23" s="22"/>
      <c r="AG23" s="28">
        <v>717722.66</v>
      </c>
    </row>
    <row r="24" spans="1:33" ht="12" customHeight="1">
      <c r="A24" s="19" t="s">
        <v>528</v>
      </c>
      <c r="B24" s="22"/>
      <c r="C24" s="22" t="s">
        <v>117</v>
      </c>
      <c r="D24" s="22"/>
      <c r="E24" s="28">
        <v>459764.72</v>
      </c>
      <c r="F24" s="22"/>
      <c r="G24" s="28">
        <v>7143.65</v>
      </c>
      <c r="H24" s="22"/>
      <c r="I24" s="28">
        <v>0</v>
      </c>
      <c r="J24" s="22"/>
      <c r="K24" s="28">
        <v>0</v>
      </c>
      <c r="L24" s="22"/>
      <c r="M24" s="28">
        <v>-452621.07</v>
      </c>
      <c r="N24" s="22"/>
      <c r="O24" s="28">
        <v>0</v>
      </c>
      <c r="P24" s="22"/>
      <c r="Q24" s="28">
        <v>455869.36</v>
      </c>
      <c r="R24" s="22"/>
      <c r="S24" s="28">
        <v>39398.26</v>
      </c>
      <c r="T24" s="22"/>
      <c r="U24" s="28">
        <v>0</v>
      </c>
      <c r="V24" s="22"/>
      <c r="W24" s="28">
        <v>0</v>
      </c>
      <c r="X24" s="22"/>
      <c r="Y24" s="28">
        <v>0</v>
      </c>
      <c r="Z24" s="22"/>
      <c r="AA24" s="28">
        <v>832</v>
      </c>
      <c r="AB24" s="22"/>
      <c r="AC24" s="28">
        <v>43478.55</v>
      </c>
      <c r="AD24" s="22"/>
      <c r="AE24" s="28">
        <v>1044251.54</v>
      </c>
      <c r="AF24" s="22"/>
      <c r="AG24" s="28">
        <v>1087730.09</v>
      </c>
    </row>
    <row r="25" spans="1:33" ht="12" customHeight="1">
      <c r="A25" s="19" t="s">
        <v>165</v>
      </c>
      <c r="B25" s="22"/>
      <c r="C25" s="22" t="s">
        <v>143</v>
      </c>
      <c r="D25" s="22"/>
      <c r="E25" s="28">
        <v>256982.41</v>
      </c>
      <c r="F25" s="22"/>
      <c r="G25" s="28">
        <v>8658.33</v>
      </c>
      <c r="H25" s="22"/>
      <c r="I25" s="28">
        <v>0</v>
      </c>
      <c r="J25" s="22"/>
      <c r="K25" s="28">
        <v>0</v>
      </c>
      <c r="L25" s="22"/>
      <c r="M25" s="28">
        <v>-248324.08</v>
      </c>
      <c r="N25" s="22"/>
      <c r="O25" s="28">
        <v>0</v>
      </c>
      <c r="P25" s="22"/>
      <c r="Q25" s="28">
        <v>256790.26</v>
      </c>
      <c r="R25" s="22"/>
      <c r="S25" s="28">
        <v>3573.59</v>
      </c>
      <c r="T25" s="22"/>
      <c r="U25" s="28">
        <v>944.9</v>
      </c>
      <c r="V25" s="22"/>
      <c r="W25" s="28">
        <v>0</v>
      </c>
      <c r="X25" s="22"/>
      <c r="Y25" s="28">
        <v>0</v>
      </c>
      <c r="Z25" s="22"/>
      <c r="AA25" s="28">
        <v>0</v>
      </c>
      <c r="AB25" s="22"/>
      <c r="AC25" s="28">
        <v>12984.67</v>
      </c>
      <c r="AD25" s="22"/>
      <c r="AE25" s="28">
        <v>78679.84</v>
      </c>
      <c r="AF25" s="22"/>
      <c r="AG25" s="28">
        <v>91664.51</v>
      </c>
    </row>
    <row r="26" spans="1:33" ht="12" customHeight="1">
      <c r="A26" s="22" t="s">
        <v>529</v>
      </c>
      <c r="B26" s="22"/>
      <c r="C26" s="22" t="s">
        <v>163</v>
      </c>
      <c r="D26" s="22"/>
      <c r="E26" s="28">
        <v>688742.11</v>
      </c>
      <c r="F26" s="22"/>
      <c r="G26" s="28">
        <v>22212.89</v>
      </c>
      <c r="H26" s="22"/>
      <c r="I26" s="28">
        <v>0</v>
      </c>
      <c r="J26" s="22"/>
      <c r="K26" s="28">
        <v>0</v>
      </c>
      <c r="L26" s="22"/>
      <c r="M26" s="28">
        <v>-666529.22</v>
      </c>
      <c r="N26" s="22"/>
      <c r="O26" s="28">
        <v>0</v>
      </c>
      <c r="P26" s="22"/>
      <c r="Q26" s="28">
        <v>639131.73</v>
      </c>
      <c r="R26" s="22"/>
      <c r="S26" s="28">
        <v>24981.34</v>
      </c>
      <c r="T26" s="22"/>
      <c r="U26" s="28">
        <v>0</v>
      </c>
      <c r="V26" s="22"/>
      <c r="W26" s="28">
        <v>0</v>
      </c>
      <c r="X26" s="22"/>
      <c r="Y26" s="28">
        <v>0</v>
      </c>
      <c r="Z26" s="22"/>
      <c r="AA26" s="28">
        <v>0</v>
      </c>
      <c r="AB26" s="22"/>
      <c r="AC26" s="28">
        <v>-2416.15</v>
      </c>
      <c r="AD26" s="22"/>
      <c r="AE26" s="28">
        <v>526397.98</v>
      </c>
      <c r="AF26" s="22"/>
      <c r="AG26" s="28">
        <v>523981.83</v>
      </c>
    </row>
    <row r="27" spans="1:33" ht="12" customHeight="1">
      <c r="A27" s="19" t="s">
        <v>530</v>
      </c>
      <c r="B27" s="22"/>
      <c r="C27" s="22" t="s">
        <v>145</v>
      </c>
      <c r="D27" s="22"/>
      <c r="E27" s="28">
        <v>464471.71</v>
      </c>
      <c r="F27" s="22"/>
      <c r="G27" s="28">
        <v>13215.21</v>
      </c>
      <c r="H27" s="22"/>
      <c r="I27" s="28">
        <v>0</v>
      </c>
      <c r="J27" s="22"/>
      <c r="K27" s="28">
        <v>0</v>
      </c>
      <c r="L27" s="22"/>
      <c r="M27" s="28">
        <v>-451256.5</v>
      </c>
      <c r="N27" s="22"/>
      <c r="O27" s="28">
        <v>0</v>
      </c>
      <c r="P27" s="22"/>
      <c r="Q27" s="28">
        <v>531032.95</v>
      </c>
      <c r="R27" s="22"/>
      <c r="S27" s="28">
        <v>108354.4</v>
      </c>
      <c r="T27" s="22"/>
      <c r="U27" s="28">
        <v>1159.88</v>
      </c>
      <c r="V27" s="22"/>
      <c r="W27" s="28">
        <v>0</v>
      </c>
      <c r="X27" s="22"/>
      <c r="Y27" s="28">
        <v>0</v>
      </c>
      <c r="Z27" s="22"/>
      <c r="AA27" s="28">
        <v>0</v>
      </c>
      <c r="AB27" s="22"/>
      <c r="AC27" s="28">
        <v>189290.73</v>
      </c>
      <c r="AD27" s="22"/>
      <c r="AE27" s="28">
        <v>2367376.55</v>
      </c>
      <c r="AF27" s="22"/>
      <c r="AG27" s="28">
        <v>2556667.28</v>
      </c>
    </row>
    <row r="28" spans="1:33" ht="12" customHeight="1">
      <c r="A28" s="22" t="s">
        <v>532</v>
      </c>
      <c r="B28" s="22"/>
      <c r="C28" s="22" t="s">
        <v>135</v>
      </c>
      <c r="D28" s="22"/>
      <c r="E28" s="28">
        <v>541402.55</v>
      </c>
      <c r="F28" s="22"/>
      <c r="G28" s="28">
        <v>16865.97</v>
      </c>
      <c r="H28" s="22"/>
      <c r="I28" s="28">
        <v>1582.61</v>
      </c>
      <c r="J28" s="22"/>
      <c r="K28" s="28">
        <v>0</v>
      </c>
      <c r="L28" s="22"/>
      <c r="M28" s="28">
        <v>-522953.97</v>
      </c>
      <c r="N28" s="22"/>
      <c r="O28" s="28">
        <v>0</v>
      </c>
      <c r="P28" s="22"/>
      <c r="Q28" s="28">
        <v>311508.7</v>
      </c>
      <c r="R28" s="22"/>
      <c r="S28" s="28">
        <v>8518.89</v>
      </c>
      <c r="T28" s="22"/>
      <c r="U28" s="28">
        <v>2303.51</v>
      </c>
      <c r="V28" s="22"/>
      <c r="W28" s="28">
        <v>0</v>
      </c>
      <c r="X28" s="22"/>
      <c r="Y28" s="28">
        <v>0</v>
      </c>
      <c r="Z28" s="22"/>
      <c r="AA28" s="28">
        <v>0</v>
      </c>
      <c r="AB28" s="22"/>
      <c r="AC28" s="28">
        <v>-200622.87</v>
      </c>
      <c r="AD28" s="22"/>
      <c r="AE28" s="28">
        <v>312235.31</v>
      </c>
      <c r="AF28" s="22"/>
      <c r="AG28" s="28">
        <v>111612.44</v>
      </c>
    </row>
    <row r="29" spans="1:33" ht="12" customHeight="1">
      <c r="A29" s="19" t="s">
        <v>531</v>
      </c>
      <c r="B29" s="22"/>
      <c r="C29" s="22" t="s">
        <v>146</v>
      </c>
      <c r="D29" s="22"/>
      <c r="E29" s="28">
        <v>911884.43</v>
      </c>
      <c r="F29" s="22"/>
      <c r="G29" s="28">
        <v>17180.92</v>
      </c>
      <c r="H29" s="22"/>
      <c r="I29" s="28">
        <v>0</v>
      </c>
      <c r="J29" s="22"/>
      <c r="K29" s="28">
        <v>0</v>
      </c>
      <c r="L29" s="22"/>
      <c r="M29" s="28">
        <v>-894703.51</v>
      </c>
      <c r="N29" s="22"/>
      <c r="O29" s="28">
        <v>0</v>
      </c>
      <c r="P29" s="22"/>
      <c r="Q29" s="28">
        <v>807870.11</v>
      </c>
      <c r="R29" s="22"/>
      <c r="S29" s="28">
        <v>37960.32</v>
      </c>
      <c r="T29" s="22"/>
      <c r="U29" s="28">
        <v>5360.34</v>
      </c>
      <c r="V29" s="22"/>
      <c r="W29" s="28">
        <v>0</v>
      </c>
      <c r="X29" s="22"/>
      <c r="Y29" s="28">
        <v>0</v>
      </c>
      <c r="Z29" s="22"/>
      <c r="AA29" s="28">
        <v>0</v>
      </c>
      <c r="AB29" s="22"/>
      <c r="AC29" s="28">
        <v>-43512.74</v>
      </c>
      <c r="AD29" s="22"/>
      <c r="AE29" s="28">
        <v>828863.34</v>
      </c>
      <c r="AF29" s="22"/>
      <c r="AG29" s="28">
        <v>785350.6</v>
      </c>
    </row>
    <row r="30" spans="1:33" ht="12" customHeight="1">
      <c r="A30" s="19" t="s">
        <v>533</v>
      </c>
      <c r="B30" s="22"/>
      <c r="C30" s="22" t="s">
        <v>147</v>
      </c>
      <c r="D30" s="22"/>
      <c r="E30" s="28">
        <v>1579865.37</v>
      </c>
      <c r="F30" s="22"/>
      <c r="G30" s="28">
        <v>61661.88</v>
      </c>
      <c r="H30" s="22"/>
      <c r="I30" s="28">
        <v>7054</v>
      </c>
      <c r="J30" s="22"/>
      <c r="K30" s="28">
        <v>0</v>
      </c>
      <c r="L30" s="22"/>
      <c r="M30" s="28">
        <v>-1511149.49</v>
      </c>
      <c r="N30" s="22"/>
      <c r="O30" s="28">
        <v>0</v>
      </c>
      <c r="P30" s="22"/>
      <c r="Q30" s="28">
        <v>1356400.88</v>
      </c>
      <c r="R30" s="22"/>
      <c r="S30" s="28">
        <v>95896.57</v>
      </c>
      <c r="T30" s="22"/>
      <c r="U30" s="28">
        <v>6673.39</v>
      </c>
      <c r="V30" s="22"/>
      <c r="W30" s="28">
        <v>0</v>
      </c>
      <c r="X30" s="22"/>
      <c r="Y30" s="28">
        <v>0</v>
      </c>
      <c r="Z30" s="22"/>
      <c r="AA30" s="28">
        <v>0</v>
      </c>
      <c r="AB30" s="22"/>
      <c r="AC30" s="28">
        <v>-52178.65</v>
      </c>
      <c r="AD30" s="22"/>
      <c r="AE30" s="28">
        <v>2004668.24</v>
      </c>
      <c r="AF30" s="22"/>
      <c r="AG30" s="28">
        <v>1952489.59</v>
      </c>
    </row>
    <row r="31" spans="1:33" ht="12" customHeight="1">
      <c r="A31" s="19" t="s">
        <v>534</v>
      </c>
      <c r="B31" s="22"/>
      <c r="C31" s="22" t="s">
        <v>145</v>
      </c>
      <c r="D31" s="22"/>
      <c r="E31" s="28">
        <v>765314.54</v>
      </c>
      <c r="F31" s="22"/>
      <c r="G31" s="28">
        <v>21010.31</v>
      </c>
      <c r="H31" s="22"/>
      <c r="I31" s="28">
        <v>2354.38</v>
      </c>
      <c r="J31" s="22"/>
      <c r="K31" s="28">
        <v>0</v>
      </c>
      <c r="L31" s="22"/>
      <c r="M31" s="28">
        <v>-741949.85</v>
      </c>
      <c r="N31" s="22"/>
      <c r="O31" s="28">
        <v>0</v>
      </c>
      <c r="P31" s="22"/>
      <c r="Q31" s="28">
        <v>649072.63</v>
      </c>
      <c r="R31" s="22"/>
      <c r="S31" s="28">
        <v>55682.48</v>
      </c>
      <c r="T31" s="22"/>
      <c r="U31" s="28">
        <v>1279.8</v>
      </c>
      <c r="V31" s="22"/>
      <c r="W31" s="28">
        <v>0</v>
      </c>
      <c r="X31" s="22"/>
      <c r="Y31" s="28">
        <v>0</v>
      </c>
      <c r="Z31" s="22"/>
      <c r="AA31" s="28">
        <v>0</v>
      </c>
      <c r="AB31" s="22"/>
      <c r="AC31" s="28">
        <v>-35914.94</v>
      </c>
      <c r="AD31" s="22"/>
      <c r="AE31" s="28">
        <v>1756055.31</v>
      </c>
      <c r="AF31" s="22"/>
      <c r="AG31" s="28">
        <v>1720140.37</v>
      </c>
    </row>
    <row r="32" spans="1:33" ht="12" customHeight="1">
      <c r="A32" s="19" t="s">
        <v>535</v>
      </c>
      <c r="B32" s="22"/>
      <c r="C32" s="22" t="s">
        <v>148</v>
      </c>
      <c r="D32" s="22"/>
      <c r="E32" s="28">
        <v>759596.3</v>
      </c>
      <c r="F32" s="22"/>
      <c r="G32" s="28">
        <v>18747.99</v>
      </c>
      <c r="H32" s="22"/>
      <c r="I32" s="28">
        <v>4500</v>
      </c>
      <c r="J32" s="22"/>
      <c r="K32" s="28">
        <v>0</v>
      </c>
      <c r="L32" s="22"/>
      <c r="M32" s="28">
        <v>-736348.31</v>
      </c>
      <c r="N32" s="22"/>
      <c r="O32" s="28">
        <v>0</v>
      </c>
      <c r="P32" s="22"/>
      <c r="Q32" s="28">
        <v>854821.36</v>
      </c>
      <c r="R32" s="22"/>
      <c r="S32" s="28">
        <v>48789.51</v>
      </c>
      <c r="T32" s="22"/>
      <c r="U32" s="28">
        <v>1851.04</v>
      </c>
      <c r="V32" s="22"/>
      <c r="W32" s="28">
        <v>0</v>
      </c>
      <c r="X32" s="22"/>
      <c r="Y32" s="28">
        <v>0</v>
      </c>
      <c r="Z32" s="22"/>
      <c r="AA32" s="28">
        <v>0</v>
      </c>
      <c r="AB32" s="22"/>
      <c r="AC32" s="28">
        <v>169113.6</v>
      </c>
      <c r="AD32" s="22"/>
      <c r="AE32" s="28">
        <v>1030696.34</v>
      </c>
      <c r="AF32" s="22"/>
      <c r="AG32" s="28">
        <v>1199809.94</v>
      </c>
    </row>
    <row r="33" spans="1:33" ht="12" customHeight="1">
      <c r="A33" s="19" t="s">
        <v>128</v>
      </c>
      <c r="B33" s="22"/>
      <c r="C33" s="22" t="s">
        <v>117</v>
      </c>
      <c r="D33" s="22"/>
      <c r="E33" s="28">
        <v>154118.39</v>
      </c>
      <c r="F33" s="22"/>
      <c r="G33" s="28">
        <v>3200.88</v>
      </c>
      <c r="H33" s="22"/>
      <c r="I33" s="28">
        <v>0</v>
      </c>
      <c r="J33" s="22"/>
      <c r="K33" s="28">
        <v>0</v>
      </c>
      <c r="L33" s="22"/>
      <c r="M33" s="28">
        <v>-150917.51</v>
      </c>
      <c r="N33" s="22"/>
      <c r="O33" s="28">
        <v>0</v>
      </c>
      <c r="P33" s="22"/>
      <c r="Q33" s="28">
        <v>138945.89</v>
      </c>
      <c r="R33" s="22"/>
      <c r="S33" s="28">
        <v>221.01</v>
      </c>
      <c r="T33" s="22"/>
      <c r="U33" s="28">
        <v>1830.15</v>
      </c>
      <c r="V33" s="22"/>
      <c r="W33" s="28">
        <v>0</v>
      </c>
      <c r="X33" s="22"/>
      <c r="Y33" s="28">
        <v>0</v>
      </c>
      <c r="Z33" s="22"/>
      <c r="AA33" s="28">
        <v>0</v>
      </c>
      <c r="AB33" s="22"/>
      <c r="AC33" s="28">
        <v>-9920.46</v>
      </c>
      <c r="AD33" s="22"/>
      <c r="AE33" s="28">
        <v>33632.77</v>
      </c>
      <c r="AF33" s="22"/>
      <c r="AG33" s="28">
        <v>23712.31</v>
      </c>
    </row>
    <row r="34" spans="1:33" ht="12" customHeight="1">
      <c r="A34" s="22" t="s">
        <v>541</v>
      </c>
      <c r="B34" s="22"/>
      <c r="C34" s="22" t="s">
        <v>150</v>
      </c>
      <c r="D34" s="22"/>
      <c r="E34" s="28">
        <v>605348.83</v>
      </c>
      <c r="F34" s="22"/>
      <c r="G34" s="28">
        <v>21797.03</v>
      </c>
      <c r="H34" s="22"/>
      <c r="I34" s="28">
        <v>0</v>
      </c>
      <c r="J34" s="22"/>
      <c r="K34" s="28">
        <v>0</v>
      </c>
      <c r="L34" s="22"/>
      <c r="M34" s="28">
        <v>-583551.8</v>
      </c>
      <c r="N34" s="22"/>
      <c r="O34" s="28">
        <v>0</v>
      </c>
      <c r="P34" s="22"/>
      <c r="Q34" s="28">
        <v>579454.78</v>
      </c>
      <c r="R34" s="22"/>
      <c r="S34" s="28">
        <v>26844.45</v>
      </c>
      <c r="T34" s="22"/>
      <c r="U34" s="28">
        <v>1502.87</v>
      </c>
      <c r="V34" s="22"/>
      <c r="W34" s="28">
        <v>0</v>
      </c>
      <c r="X34" s="22"/>
      <c r="Y34" s="28">
        <v>0</v>
      </c>
      <c r="Z34" s="22"/>
      <c r="AA34" s="28">
        <v>0</v>
      </c>
      <c r="AB34" s="22"/>
      <c r="AC34" s="28">
        <v>24250.3</v>
      </c>
      <c r="AD34" s="22"/>
      <c r="AE34" s="28">
        <v>474424.91</v>
      </c>
      <c r="AF34" s="22"/>
      <c r="AG34" s="28">
        <v>498675.21</v>
      </c>
    </row>
    <row r="35" spans="1:33" ht="12" customHeight="1">
      <c r="A35" s="19" t="s">
        <v>129</v>
      </c>
      <c r="B35" s="22"/>
      <c r="C35" s="22" t="s">
        <v>150</v>
      </c>
      <c r="D35" s="22"/>
      <c r="E35" s="28">
        <v>419033.64</v>
      </c>
      <c r="F35" s="22"/>
      <c r="G35" s="28">
        <v>14821.78</v>
      </c>
      <c r="H35" s="22"/>
      <c r="I35" s="28">
        <v>0</v>
      </c>
      <c r="J35" s="22"/>
      <c r="K35" s="28">
        <v>0</v>
      </c>
      <c r="L35" s="22"/>
      <c r="M35" s="28">
        <v>-404211.86</v>
      </c>
      <c r="N35" s="22"/>
      <c r="O35" s="28">
        <v>0</v>
      </c>
      <c r="P35" s="22"/>
      <c r="Q35" s="28">
        <v>421668.77</v>
      </c>
      <c r="R35" s="22"/>
      <c r="S35" s="28">
        <v>26616.82</v>
      </c>
      <c r="T35" s="22"/>
      <c r="U35" s="28">
        <v>329.12</v>
      </c>
      <c r="V35" s="22"/>
      <c r="W35" s="28">
        <v>0</v>
      </c>
      <c r="X35" s="22"/>
      <c r="Y35" s="28">
        <v>0</v>
      </c>
      <c r="Z35" s="22"/>
      <c r="AA35" s="28">
        <v>0</v>
      </c>
      <c r="AB35" s="22"/>
      <c r="AC35" s="28">
        <v>44402.85</v>
      </c>
      <c r="AD35" s="22"/>
      <c r="AE35" s="28">
        <v>553932.44</v>
      </c>
      <c r="AF35" s="22"/>
      <c r="AG35" s="28">
        <v>598335.29</v>
      </c>
    </row>
    <row r="36" spans="1:33" ht="12" customHeight="1">
      <c r="A36" s="19" t="s">
        <v>536</v>
      </c>
      <c r="B36" s="22"/>
      <c r="C36" s="22" t="s">
        <v>151</v>
      </c>
      <c r="D36" s="22"/>
      <c r="E36" s="28">
        <v>1380331.76</v>
      </c>
      <c r="F36" s="22"/>
      <c r="G36" s="28">
        <v>65770.53</v>
      </c>
      <c r="H36" s="22"/>
      <c r="I36" s="28">
        <v>0</v>
      </c>
      <c r="J36" s="22"/>
      <c r="K36" s="28">
        <v>2170.42</v>
      </c>
      <c r="L36" s="22"/>
      <c r="M36" s="28">
        <v>-1312390.81</v>
      </c>
      <c r="N36" s="22"/>
      <c r="O36" s="28">
        <v>1412969.31</v>
      </c>
      <c r="P36" s="22"/>
      <c r="Q36" s="28">
        <v>41924.4</v>
      </c>
      <c r="R36" s="22"/>
      <c r="S36" s="28">
        <v>144028.25</v>
      </c>
      <c r="T36" s="22"/>
      <c r="U36" s="28">
        <v>95947.45</v>
      </c>
      <c r="V36" s="22"/>
      <c r="W36" s="28">
        <v>0</v>
      </c>
      <c r="X36" s="22"/>
      <c r="Y36" s="28">
        <v>0</v>
      </c>
      <c r="Z36" s="22"/>
      <c r="AA36" s="28">
        <v>0</v>
      </c>
      <c r="AB36" s="22"/>
      <c r="AC36" s="28">
        <v>382478.6</v>
      </c>
      <c r="AD36" s="22"/>
      <c r="AE36" s="28">
        <v>2478583.97</v>
      </c>
      <c r="AF36" s="22"/>
      <c r="AG36" s="28">
        <v>2861062.57</v>
      </c>
    </row>
    <row r="37" spans="1:33" ht="12" customHeight="1">
      <c r="A37" s="22" t="s">
        <v>275</v>
      </c>
      <c r="B37" s="22"/>
      <c r="C37" s="22" t="s">
        <v>149</v>
      </c>
      <c r="D37" s="22"/>
      <c r="E37" s="28">
        <v>884317.14</v>
      </c>
      <c r="F37" s="22"/>
      <c r="G37" s="28">
        <v>19663.79</v>
      </c>
      <c r="H37" s="22"/>
      <c r="I37" s="28">
        <v>0</v>
      </c>
      <c r="J37" s="22"/>
      <c r="K37" s="28">
        <v>0</v>
      </c>
      <c r="L37" s="22"/>
      <c r="M37" s="28">
        <v>-864653.35</v>
      </c>
      <c r="N37" s="22"/>
      <c r="O37" s="28">
        <v>0</v>
      </c>
      <c r="P37" s="22"/>
      <c r="Q37" s="28">
        <v>925861.98</v>
      </c>
      <c r="R37" s="22"/>
      <c r="S37" s="28">
        <v>27321.88</v>
      </c>
      <c r="T37" s="22"/>
      <c r="U37" s="28">
        <v>688.72</v>
      </c>
      <c r="V37" s="22"/>
      <c r="W37" s="28">
        <v>0</v>
      </c>
      <c r="X37" s="22"/>
      <c r="Y37" s="28">
        <v>0</v>
      </c>
      <c r="Z37" s="22"/>
      <c r="AA37" s="28">
        <v>2250</v>
      </c>
      <c r="AB37" s="22"/>
      <c r="AC37" s="28">
        <v>91469.23</v>
      </c>
      <c r="AD37" s="22"/>
      <c r="AE37" s="28">
        <v>504299.29</v>
      </c>
      <c r="AF37" s="22"/>
      <c r="AG37" s="28">
        <v>595768.52</v>
      </c>
    </row>
    <row r="38" spans="1:33" ht="12" customHeight="1">
      <c r="A38" s="19" t="s">
        <v>130</v>
      </c>
      <c r="B38" s="22"/>
      <c r="C38" s="22" t="s">
        <v>103</v>
      </c>
      <c r="D38" s="22"/>
      <c r="E38" s="28">
        <v>456812.56</v>
      </c>
      <c r="F38" s="22"/>
      <c r="G38" s="28">
        <v>10598.51</v>
      </c>
      <c r="H38" s="22"/>
      <c r="I38" s="28">
        <v>0</v>
      </c>
      <c r="J38" s="22"/>
      <c r="K38" s="28">
        <v>0</v>
      </c>
      <c r="L38" s="22"/>
      <c r="M38" s="28">
        <v>-446214.05</v>
      </c>
      <c r="N38" s="22"/>
      <c r="O38" s="28">
        <v>0</v>
      </c>
      <c r="P38" s="22"/>
      <c r="Q38" s="28">
        <v>378577.41</v>
      </c>
      <c r="R38" s="22"/>
      <c r="S38" s="28">
        <v>9285.87</v>
      </c>
      <c r="T38" s="22"/>
      <c r="U38" s="28">
        <v>25207.96</v>
      </c>
      <c r="V38" s="22"/>
      <c r="W38" s="28">
        <v>0</v>
      </c>
      <c r="X38" s="22"/>
      <c r="Y38" s="28">
        <v>0</v>
      </c>
      <c r="Z38" s="22"/>
      <c r="AA38" s="28">
        <v>0</v>
      </c>
      <c r="AB38" s="22"/>
      <c r="AC38" s="28">
        <v>-33142.81</v>
      </c>
      <c r="AD38" s="22"/>
      <c r="AE38" s="28">
        <v>243727.36</v>
      </c>
      <c r="AF38" s="22"/>
      <c r="AG38" s="28">
        <v>210584.55</v>
      </c>
    </row>
    <row r="39" spans="1:33" ht="12" customHeight="1">
      <c r="A39" s="22" t="s">
        <v>540</v>
      </c>
      <c r="B39" s="22"/>
      <c r="C39" s="22" t="s">
        <v>282</v>
      </c>
      <c r="D39" s="22"/>
      <c r="E39" s="28">
        <v>543485.55</v>
      </c>
      <c r="F39" s="22"/>
      <c r="G39" s="28">
        <v>16784.8</v>
      </c>
      <c r="H39" s="22"/>
      <c r="I39" s="28">
        <v>0</v>
      </c>
      <c r="J39" s="22"/>
      <c r="K39" s="28">
        <v>0</v>
      </c>
      <c r="L39" s="22"/>
      <c r="M39" s="28">
        <v>-526700.75</v>
      </c>
      <c r="N39" s="22"/>
      <c r="O39" s="28">
        <v>0</v>
      </c>
      <c r="P39" s="22"/>
      <c r="Q39" s="28">
        <v>498915.12</v>
      </c>
      <c r="R39" s="22"/>
      <c r="S39" s="28">
        <v>25258.96</v>
      </c>
      <c r="T39" s="22"/>
      <c r="U39" s="28">
        <v>3563.07</v>
      </c>
      <c r="V39" s="22"/>
      <c r="W39" s="28">
        <v>0</v>
      </c>
      <c r="X39" s="22"/>
      <c r="Y39" s="28">
        <v>0</v>
      </c>
      <c r="Z39" s="22"/>
      <c r="AA39" s="28">
        <v>0</v>
      </c>
      <c r="AB39" s="22"/>
      <c r="AC39" s="28">
        <v>1036.4</v>
      </c>
      <c r="AD39" s="22"/>
      <c r="AE39" s="28">
        <v>594511.12</v>
      </c>
      <c r="AF39" s="22"/>
      <c r="AG39" s="28">
        <v>595547.52</v>
      </c>
    </row>
    <row r="40" spans="1:33" ht="12" customHeight="1">
      <c r="A40" s="19" t="s">
        <v>537</v>
      </c>
      <c r="B40" s="22"/>
      <c r="C40" s="22" t="s">
        <v>152</v>
      </c>
      <c r="D40" s="22"/>
      <c r="E40" s="28">
        <v>587246.4</v>
      </c>
      <c r="F40" s="22"/>
      <c r="G40" s="28">
        <v>14640.83</v>
      </c>
      <c r="H40" s="22"/>
      <c r="I40" s="28">
        <v>0</v>
      </c>
      <c r="J40" s="22"/>
      <c r="K40" s="28">
        <v>0</v>
      </c>
      <c r="L40" s="22"/>
      <c r="M40" s="28">
        <v>-572605.57</v>
      </c>
      <c r="N40" s="22"/>
      <c r="O40" s="28">
        <v>0</v>
      </c>
      <c r="P40" s="22"/>
      <c r="Q40" s="28">
        <v>530942.6</v>
      </c>
      <c r="R40" s="22"/>
      <c r="S40" s="28">
        <v>21578.62</v>
      </c>
      <c r="T40" s="22"/>
      <c r="U40" s="28">
        <v>11497.97</v>
      </c>
      <c r="V40" s="22"/>
      <c r="W40" s="28">
        <v>0</v>
      </c>
      <c r="X40" s="22"/>
      <c r="Y40" s="28">
        <v>0</v>
      </c>
      <c r="Z40" s="22"/>
      <c r="AA40" s="28">
        <v>0</v>
      </c>
      <c r="AB40" s="22"/>
      <c r="AC40" s="28">
        <v>-8586.38</v>
      </c>
      <c r="AD40" s="22"/>
      <c r="AE40" s="28">
        <v>452800.56</v>
      </c>
      <c r="AF40" s="22"/>
      <c r="AG40" s="28">
        <v>444214.18</v>
      </c>
    </row>
    <row r="41" spans="1:33" ht="12" customHeight="1">
      <c r="A41" s="19" t="s">
        <v>538</v>
      </c>
      <c r="B41" s="22"/>
      <c r="C41" s="22" t="s">
        <v>147</v>
      </c>
      <c r="D41" s="22"/>
      <c r="E41" s="28">
        <v>1316329.14</v>
      </c>
      <c r="F41" s="22"/>
      <c r="G41" s="28">
        <v>24347.79</v>
      </c>
      <c r="H41" s="22"/>
      <c r="I41" s="28">
        <v>0</v>
      </c>
      <c r="J41" s="22"/>
      <c r="K41" s="28">
        <v>0</v>
      </c>
      <c r="L41" s="22"/>
      <c r="M41" s="28">
        <v>-1291981.35</v>
      </c>
      <c r="N41" s="22"/>
      <c r="O41" s="28">
        <v>0</v>
      </c>
      <c r="P41" s="22"/>
      <c r="Q41" s="28">
        <v>859466.43</v>
      </c>
      <c r="R41" s="22"/>
      <c r="S41" s="28">
        <v>129120.8</v>
      </c>
      <c r="T41" s="22"/>
      <c r="U41" s="28">
        <v>4332.78</v>
      </c>
      <c r="V41" s="22"/>
      <c r="W41" s="28">
        <v>0</v>
      </c>
      <c r="X41" s="22"/>
      <c r="Y41" s="28">
        <v>0</v>
      </c>
      <c r="Z41" s="22"/>
      <c r="AA41" s="28">
        <v>0</v>
      </c>
      <c r="AB41" s="22"/>
      <c r="AC41" s="28">
        <v>-299061.34</v>
      </c>
      <c r="AD41" s="22"/>
      <c r="AE41" s="28">
        <v>2444891.04</v>
      </c>
      <c r="AF41" s="22"/>
      <c r="AG41" s="28">
        <v>2145829.7</v>
      </c>
    </row>
    <row r="42" spans="1:33" ht="12" customHeight="1">
      <c r="A42" s="19" t="s">
        <v>539</v>
      </c>
      <c r="B42" s="22"/>
      <c r="C42" s="22" t="s">
        <v>144</v>
      </c>
      <c r="D42" s="22"/>
      <c r="E42" s="28">
        <v>283968.91</v>
      </c>
      <c r="F42" s="22"/>
      <c r="G42" s="28">
        <v>7754.76</v>
      </c>
      <c r="H42" s="22"/>
      <c r="I42" s="28">
        <v>0</v>
      </c>
      <c r="J42" s="22"/>
      <c r="K42" s="28">
        <v>0</v>
      </c>
      <c r="L42" s="22"/>
      <c r="M42" s="28">
        <v>-276214.15</v>
      </c>
      <c r="N42" s="22"/>
      <c r="O42" s="28">
        <v>0</v>
      </c>
      <c r="P42" s="22"/>
      <c r="Q42" s="28">
        <v>316456.5</v>
      </c>
      <c r="R42" s="22"/>
      <c r="S42" s="28">
        <v>28955.64</v>
      </c>
      <c r="T42" s="22"/>
      <c r="U42" s="28">
        <v>1753.12</v>
      </c>
      <c r="V42" s="22"/>
      <c r="W42" s="28">
        <v>0</v>
      </c>
      <c r="X42" s="22"/>
      <c r="Y42" s="28">
        <v>0</v>
      </c>
      <c r="Z42" s="22"/>
      <c r="AA42" s="28">
        <v>0</v>
      </c>
      <c r="AB42" s="22"/>
      <c r="AC42" s="28">
        <v>70951.11</v>
      </c>
      <c r="AD42" s="22"/>
      <c r="AE42" s="28">
        <v>577260.8</v>
      </c>
      <c r="AF42" s="22"/>
      <c r="AG42" s="28">
        <v>648211.91</v>
      </c>
    </row>
    <row r="43" spans="1:33" ht="12" customHeight="1">
      <c r="A43" s="22" t="s">
        <v>552</v>
      </c>
      <c r="B43" s="22"/>
      <c r="C43" s="22" t="s">
        <v>303</v>
      </c>
      <c r="D43" s="22"/>
      <c r="E43" s="28">
        <v>32878.79</v>
      </c>
      <c r="F43" s="22"/>
      <c r="G43" s="28">
        <v>0</v>
      </c>
      <c r="H43" s="22"/>
      <c r="I43" s="28">
        <v>10037</v>
      </c>
      <c r="J43" s="22"/>
      <c r="K43" s="28">
        <v>0</v>
      </c>
      <c r="L43" s="22"/>
      <c r="M43" s="28">
        <v>-22841.79</v>
      </c>
      <c r="N43" s="22"/>
      <c r="O43" s="28">
        <v>0</v>
      </c>
      <c r="P43" s="22"/>
      <c r="Q43" s="28">
        <v>12617.5</v>
      </c>
      <c r="R43" s="22"/>
      <c r="S43" s="28">
        <v>29574.73</v>
      </c>
      <c r="T43" s="22"/>
      <c r="U43" s="28">
        <v>0</v>
      </c>
      <c r="V43" s="22"/>
      <c r="W43" s="28">
        <v>0</v>
      </c>
      <c r="X43" s="22"/>
      <c r="Y43" s="28">
        <v>10000</v>
      </c>
      <c r="Z43" s="22"/>
      <c r="AA43" s="28">
        <v>0</v>
      </c>
      <c r="AB43" s="22"/>
      <c r="AC43" s="28">
        <v>29350.44</v>
      </c>
      <c r="AD43" s="22"/>
      <c r="AE43" s="28">
        <v>849575.42</v>
      </c>
      <c r="AF43" s="22"/>
      <c r="AG43" s="28">
        <v>878925.86</v>
      </c>
    </row>
    <row r="44" spans="1:33" ht="12" customHeight="1">
      <c r="A44" s="19" t="s">
        <v>542</v>
      </c>
      <c r="B44" s="22"/>
      <c r="C44" s="22" t="s">
        <v>147</v>
      </c>
      <c r="D44" s="22"/>
      <c r="E44" s="28">
        <v>743106.25</v>
      </c>
      <c r="F44" s="22"/>
      <c r="G44" s="28">
        <v>17813.32</v>
      </c>
      <c r="H44" s="22"/>
      <c r="I44" s="28">
        <v>0</v>
      </c>
      <c r="J44" s="22"/>
      <c r="K44" s="28">
        <v>0</v>
      </c>
      <c r="L44" s="22"/>
      <c r="M44" s="28">
        <v>-725292.93</v>
      </c>
      <c r="N44" s="22"/>
      <c r="O44" s="28">
        <v>0</v>
      </c>
      <c r="P44" s="22"/>
      <c r="Q44" s="28">
        <v>700474.09</v>
      </c>
      <c r="R44" s="22"/>
      <c r="S44" s="28">
        <v>30483.78</v>
      </c>
      <c r="T44" s="22"/>
      <c r="U44" s="28">
        <v>4528</v>
      </c>
      <c r="V44" s="22"/>
      <c r="W44" s="28">
        <v>0</v>
      </c>
      <c r="X44" s="22"/>
      <c r="Y44" s="28">
        <v>0</v>
      </c>
      <c r="Z44" s="22"/>
      <c r="AA44" s="28">
        <v>3217.45</v>
      </c>
      <c r="AB44" s="22"/>
      <c r="AC44" s="28">
        <v>13410.39</v>
      </c>
      <c r="AD44" s="22"/>
      <c r="AE44" s="28">
        <v>656121.97</v>
      </c>
      <c r="AF44" s="22"/>
      <c r="AG44" s="28">
        <v>669532.36</v>
      </c>
    </row>
    <row r="45" spans="1:33" ht="12" customHeight="1">
      <c r="A45" s="19" t="s">
        <v>543</v>
      </c>
      <c r="B45" s="22"/>
      <c r="C45" s="22" t="s">
        <v>154</v>
      </c>
      <c r="D45" s="22"/>
      <c r="E45" s="28">
        <v>845749.39</v>
      </c>
      <c r="F45" s="22"/>
      <c r="G45" s="28">
        <v>23789.03</v>
      </c>
      <c r="H45" s="22"/>
      <c r="I45" s="28">
        <v>0</v>
      </c>
      <c r="J45" s="22"/>
      <c r="K45" s="28">
        <v>0</v>
      </c>
      <c r="L45" s="22"/>
      <c r="M45" s="28">
        <v>-821960.36</v>
      </c>
      <c r="N45" s="22"/>
      <c r="O45" s="28">
        <v>0</v>
      </c>
      <c r="P45" s="22"/>
      <c r="Q45" s="28">
        <v>566732.7</v>
      </c>
      <c r="R45" s="22"/>
      <c r="S45" s="28">
        <v>168071.67</v>
      </c>
      <c r="T45" s="22"/>
      <c r="U45" s="28">
        <v>22303.74</v>
      </c>
      <c r="V45" s="22"/>
      <c r="W45" s="28">
        <v>0</v>
      </c>
      <c r="X45" s="22"/>
      <c r="Y45" s="28">
        <v>0</v>
      </c>
      <c r="Z45" s="22"/>
      <c r="AA45" s="28">
        <v>0</v>
      </c>
      <c r="AB45" s="22"/>
      <c r="AC45" s="28">
        <v>-64852.25</v>
      </c>
      <c r="AD45" s="22"/>
      <c r="AE45" s="28">
        <v>2338074.38</v>
      </c>
      <c r="AF45" s="22"/>
      <c r="AG45" s="28">
        <v>2273222.13</v>
      </c>
    </row>
    <row r="46" spans="1:33" ht="12" customHeight="1">
      <c r="A46" s="19" t="s">
        <v>544</v>
      </c>
      <c r="B46" s="22"/>
      <c r="C46" s="22" t="s">
        <v>147</v>
      </c>
      <c r="D46" s="22"/>
      <c r="E46" s="28">
        <v>1300973.62</v>
      </c>
      <c r="F46" s="22"/>
      <c r="G46" s="28">
        <v>48342.42</v>
      </c>
      <c r="H46" s="22"/>
      <c r="I46" s="28">
        <v>0</v>
      </c>
      <c r="J46" s="22"/>
      <c r="K46" s="28">
        <v>0</v>
      </c>
      <c r="L46" s="22"/>
      <c r="M46" s="28">
        <v>-1252631.2</v>
      </c>
      <c r="N46" s="22"/>
      <c r="O46" s="28">
        <v>0</v>
      </c>
      <c r="P46" s="22"/>
      <c r="Q46" s="28">
        <v>1179452.89</v>
      </c>
      <c r="R46" s="22"/>
      <c r="S46" s="28">
        <v>89308.78</v>
      </c>
      <c r="T46" s="22"/>
      <c r="U46" s="28">
        <v>540.88</v>
      </c>
      <c r="V46" s="22"/>
      <c r="W46" s="28">
        <v>0</v>
      </c>
      <c r="X46" s="22"/>
      <c r="Y46" s="28">
        <v>0</v>
      </c>
      <c r="Z46" s="22"/>
      <c r="AA46" s="28">
        <v>0</v>
      </c>
      <c r="AB46" s="22"/>
      <c r="AC46" s="28">
        <v>16671.35</v>
      </c>
      <c r="AD46" s="22"/>
      <c r="AE46" s="28">
        <v>1884286.17</v>
      </c>
      <c r="AF46" s="22"/>
      <c r="AG46" s="28">
        <v>1900957.52</v>
      </c>
    </row>
    <row r="47" spans="1:33" ht="12" customHeight="1">
      <c r="A47" s="19" t="s">
        <v>545</v>
      </c>
      <c r="B47" s="22"/>
      <c r="C47" s="22" t="s">
        <v>155</v>
      </c>
      <c r="D47" s="22"/>
      <c r="E47" s="28">
        <v>374994.68</v>
      </c>
      <c r="F47" s="22"/>
      <c r="G47" s="28">
        <v>7513.17</v>
      </c>
      <c r="H47" s="22"/>
      <c r="I47" s="28">
        <v>1223.85</v>
      </c>
      <c r="J47" s="22"/>
      <c r="K47" s="28">
        <v>0</v>
      </c>
      <c r="L47" s="22"/>
      <c r="M47" s="28">
        <v>-366257.66</v>
      </c>
      <c r="N47" s="22"/>
      <c r="O47" s="28">
        <v>311660.35</v>
      </c>
      <c r="P47" s="22"/>
      <c r="Q47" s="28">
        <v>14020.18</v>
      </c>
      <c r="R47" s="22"/>
      <c r="S47" s="28">
        <v>28237.88</v>
      </c>
      <c r="T47" s="22"/>
      <c r="U47" s="28">
        <v>268.2</v>
      </c>
      <c r="V47" s="22"/>
      <c r="W47" s="28">
        <v>0</v>
      </c>
      <c r="X47" s="22"/>
      <c r="Y47" s="28">
        <v>0</v>
      </c>
      <c r="Z47" s="22"/>
      <c r="AA47" s="28">
        <v>0</v>
      </c>
      <c r="AB47" s="22"/>
      <c r="AC47" s="28">
        <v>-12071.05</v>
      </c>
      <c r="AD47" s="22"/>
      <c r="AE47" s="28">
        <v>594876.82</v>
      </c>
      <c r="AF47" s="22"/>
      <c r="AG47" s="28">
        <v>582805.77</v>
      </c>
    </row>
    <row r="48" spans="1:33" ht="12" customHeight="1">
      <c r="A48" s="19" t="s">
        <v>546</v>
      </c>
      <c r="B48" s="22"/>
      <c r="C48" s="22" t="s">
        <v>116</v>
      </c>
      <c r="D48" s="22"/>
      <c r="E48" s="28">
        <v>833860.89</v>
      </c>
      <c r="F48" s="22"/>
      <c r="G48" s="28">
        <v>23002.54</v>
      </c>
      <c r="H48" s="22"/>
      <c r="I48" s="28">
        <v>2686</v>
      </c>
      <c r="J48" s="22"/>
      <c r="K48" s="28">
        <v>557.13</v>
      </c>
      <c r="L48" s="22"/>
      <c r="M48" s="28">
        <v>-807615.22</v>
      </c>
      <c r="N48" s="22"/>
      <c r="O48" s="28">
        <v>0</v>
      </c>
      <c r="P48" s="22"/>
      <c r="Q48" s="28">
        <v>826499.67</v>
      </c>
      <c r="R48" s="22"/>
      <c r="S48" s="28">
        <v>5253.54</v>
      </c>
      <c r="T48" s="22"/>
      <c r="U48" s="28">
        <v>2772.52</v>
      </c>
      <c r="V48" s="22"/>
      <c r="W48" s="28">
        <v>0</v>
      </c>
      <c r="X48" s="22"/>
      <c r="Y48" s="28">
        <v>0</v>
      </c>
      <c r="Z48" s="22"/>
      <c r="AA48" s="28">
        <v>0</v>
      </c>
      <c r="AB48" s="22"/>
      <c r="AC48" s="28">
        <v>26910.51</v>
      </c>
      <c r="AD48" s="22"/>
      <c r="AE48" s="28">
        <v>117920.3</v>
      </c>
      <c r="AF48" s="22"/>
      <c r="AG48" s="28">
        <v>144830.81</v>
      </c>
    </row>
    <row r="49" spans="1:33" ht="12" customHeight="1">
      <c r="A49" s="19" t="s">
        <v>547</v>
      </c>
      <c r="B49" s="22"/>
      <c r="C49" s="22" t="s">
        <v>518</v>
      </c>
      <c r="D49" s="22"/>
      <c r="E49" s="28">
        <v>537753.52</v>
      </c>
      <c r="F49" s="22"/>
      <c r="G49" s="28">
        <v>16587.24</v>
      </c>
      <c r="H49" s="22"/>
      <c r="I49" s="28">
        <v>0</v>
      </c>
      <c r="J49" s="22"/>
      <c r="K49" s="28">
        <v>10000</v>
      </c>
      <c r="L49" s="22"/>
      <c r="M49" s="28">
        <v>-511166.28</v>
      </c>
      <c r="N49" s="22"/>
      <c r="O49" s="28">
        <v>0</v>
      </c>
      <c r="P49" s="22"/>
      <c r="Q49" s="28">
        <v>568283.15</v>
      </c>
      <c r="R49" s="22"/>
      <c r="S49" s="28">
        <v>1030.1</v>
      </c>
      <c r="T49" s="22"/>
      <c r="U49" s="28">
        <v>8314.44</v>
      </c>
      <c r="V49" s="22"/>
      <c r="W49" s="28">
        <v>0</v>
      </c>
      <c r="X49" s="22"/>
      <c r="Y49" s="28">
        <v>0</v>
      </c>
      <c r="Z49" s="22"/>
      <c r="AA49" s="28">
        <v>0</v>
      </c>
      <c r="AB49" s="22"/>
      <c r="AC49" s="28">
        <v>66461.41</v>
      </c>
      <c r="AD49" s="22"/>
      <c r="AE49" s="28">
        <v>66786.17</v>
      </c>
      <c r="AF49" s="22"/>
      <c r="AG49" s="28">
        <v>133247.58</v>
      </c>
    </row>
    <row r="50" spans="1:33" ht="12" customHeight="1">
      <c r="A50" s="22" t="s">
        <v>553</v>
      </c>
      <c r="B50" s="22"/>
      <c r="C50" s="22" t="s">
        <v>103</v>
      </c>
      <c r="D50" s="22"/>
      <c r="E50" s="28">
        <v>351911.42</v>
      </c>
      <c r="F50" s="22"/>
      <c r="G50" s="28">
        <v>4443.27</v>
      </c>
      <c r="H50" s="22"/>
      <c r="I50" s="28">
        <v>1655</v>
      </c>
      <c r="J50" s="22"/>
      <c r="K50" s="28">
        <v>0</v>
      </c>
      <c r="L50" s="22"/>
      <c r="M50" s="28">
        <v>-345813.15</v>
      </c>
      <c r="N50" s="22"/>
      <c r="O50" s="28">
        <v>0</v>
      </c>
      <c r="P50" s="22"/>
      <c r="Q50" s="28">
        <v>232356.17</v>
      </c>
      <c r="R50" s="22"/>
      <c r="S50" s="28">
        <v>2298.97</v>
      </c>
      <c r="T50" s="22"/>
      <c r="U50" s="28">
        <v>63742.6</v>
      </c>
      <c r="V50" s="22"/>
      <c r="W50" s="28">
        <v>0</v>
      </c>
      <c r="X50" s="22"/>
      <c r="Y50" s="28">
        <v>0</v>
      </c>
      <c r="Z50" s="22"/>
      <c r="AA50" s="28">
        <v>0</v>
      </c>
      <c r="AB50" s="22"/>
      <c r="AC50" s="28">
        <v>-47415.41</v>
      </c>
      <c r="AD50" s="22"/>
      <c r="AE50" s="28">
        <v>223319.79</v>
      </c>
      <c r="AF50" s="22"/>
      <c r="AG50" s="28">
        <v>175904.38</v>
      </c>
    </row>
    <row r="51" spans="1:33" ht="12" customHeight="1">
      <c r="A51" s="19" t="s">
        <v>548</v>
      </c>
      <c r="B51" s="22"/>
      <c r="C51" s="22" t="s">
        <v>158</v>
      </c>
      <c r="D51" s="22"/>
      <c r="E51" s="28">
        <v>454789.22</v>
      </c>
      <c r="F51" s="22"/>
      <c r="G51" s="28">
        <v>13259.96</v>
      </c>
      <c r="H51" s="22"/>
      <c r="I51" s="28">
        <v>0</v>
      </c>
      <c r="J51" s="22"/>
      <c r="K51" s="28">
        <v>0</v>
      </c>
      <c r="L51" s="22"/>
      <c r="M51" s="28">
        <v>-441529.26</v>
      </c>
      <c r="N51" s="22"/>
      <c r="O51" s="28">
        <v>0</v>
      </c>
      <c r="P51" s="22"/>
      <c r="Q51" s="28">
        <v>404883.84</v>
      </c>
      <c r="R51" s="22"/>
      <c r="S51" s="28">
        <v>16243.15</v>
      </c>
      <c r="T51" s="22"/>
      <c r="U51" s="28">
        <v>768.11</v>
      </c>
      <c r="V51" s="22"/>
      <c r="W51" s="28">
        <v>0</v>
      </c>
      <c r="X51" s="22"/>
      <c r="Y51" s="28">
        <v>0</v>
      </c>
      <c r="Z51" s="22"/>
      <c r="AA51" s="28">
        <v>0</v>
      </c>
      <c r="AB51" s="22"/>
      <c r="AC51" s="28">
        <v>-14134.16</v>
      </c>
      <c r="AD51" s="22"/>
      <c r="AE51" s="28">
        <v>302827.94</v>
      </c>
      <c r="AF51" s="22"/>
      <c r="AG51" s="28">
        <v>288693.78</v>
      </c>
    </row>
    <row r="52" spans="1:33" ht="12" customHeight="1">
      <c r="A52" s="22" t="s">
        <v>351</v>
      </c>
      <c r="B52" s="22"/>
      <c r="C52" s="22" t="s">
        <v>150</v>
      </c>
      <c r="D52" s="22"/>
      <c r="E52" s="28">
        <v>1013484.21</v>
      </c>
      <c r="F52" s="22"/>
      <c r="G52" s="28">
        <v>36102.67</v>
      </c>
      <c r="H52" s="22"/>
      <c r="I52" s="28">
        <v>3246</v>
      </c>
      <c r="J52" s="22"/>
      <c r="K52" s="28">
        <v>0</v>
      </c>
      <c r="L52" s="22"/>
      <c r="M52" s="28">
        <v>-974135.54</v>
      </c>
      <c r="N52" s="22"/>
      <c r="O52" s="28">
        <v>442338.54</v>
      </c>
      <c r="P52" s="22"/>
      <c r="Q52" s="28">
        <v>530838.13</v>
      </c>
      <c r="R52" s="22"/>
      <c r="S52" s="28">
        <v>26604.33</v>
      </c>
      <c r="T52" s="22"/>
      <c r="U52" s="28">
        <v>2035.12</v>
      </c>
      <c r="V52" s="22"/>
      <c r="W52" s="28">
        <v>0</v>
      </c>
      <c r="X52" s="22"/>
      <c r="Y52" s="28">
        <v>0</v>
      </c>
      <c r="Z52" s="22"/>
      <c r="AA52" s="28">
        <v>0</v>
      </c>
      <c r="AB52" s="22"/>
      <c r="AC52" s="28">
        <v>27680.58</v>
      </c>
      <c r="AD52" s="22"/>
      <c r="AE52" s="28">
        <v>494812.54</v>
      </c>
      <c r="AF52" s="22"/>
      <c r="AG52" s="28">
        <v>522493.12</v>
      </c>
    </row>
    <row r="53" spans="1:33" ht="12" customHeight="1">
      <c r="A53" s="19" t="s">
        <v>549</v>
      </c>
      <c r="B53" s="22"/>
      <c r="C53" s="22" t="s">
        <v>113</v>
      </c>
      <c r="D53" s="22"/>
      <c r="E53" s="28">
        <v>472261.54</v>
      </c>
      <c r="F53" s="22"/>
      <c r="G53" s="28">
        <v>5935.55</v>
      </c>
      <c r="H53" s="22"/>
      <c r="I53" s="28">
        <v>0</v>
      </c>
      <c r="J53" s="22"/>
      <c r="K53" s="28">
        <v>0</v>
      </c>
      <c r="L53" s="22"/>
      <c r="M53" s="28">
        <v>-466325.99</v>
      </c>
      <c r="N53" s="22"/>
      <c r="O53" s="28">
        <v>119969.89</v>
      </c>
      <c r="P53" s="22"/>
      <c r="Q53" s="28">
        <v>387237.46</v>
      </c>
      <c r="R53" s="22"/>
      <c r="S53" s="28">
        <v>2225.57</v>
      </c>
      <c r="T53" s="22"/>
      <c r="U53" s="28">
        <v>0</v>
      </c>
      <c r="V53" s="22"/>
      <c r="W53" s="28">
        <v>0</v>
      </c>
      <c r="X53" s="22"/>
      <c r="Y53" s="28">
        <v>0</v>
      </c>
      <c r="Z53" s="22"/>
      <c r="AA53" s="28">
        <v>0</v>
      </c>
      <c r="AB53" s="22"/>
      <c r="AC53" s="28">
        <v>43106.93</v>
      </c>
      <c r="AD53" s="22"/>
      <c r="AE53" s="28">
        <v>156973.35</v>
      </c>
      <c r="AF53" s="22"/>
      <c r="AG53" s="28">
        <v>200080.28</v>
      </c>
    </row>
    <row r="54" spans="1:33" ht="12" customHeight="1">
      <c r="A54" s="19" t="s">
        <v>550</v>
      </c>
      <c r="B54" s="22"/>
      <c r="C54" s="22" t="s">
        <v>159</v>
      </c>
      <c r="D54" s="22"/>
      <c r="E54" s="28">
        <v>1336851.38</v>
      </c>
      <c r="F54" s="22"/>
      <c r="G54" s="28">
        <v>33473.94</v>
      </c>
      <c r="H54" s="22"/>
      <c r="I54" s="28">
        <v>0</v>
      </c>
      <c r="J54" s="22"/>
      <c r="K54" s="28">
        <v>0</v>
      </c>
      <c r="L54" s="22"/>
      <c r="M54" s="28">
        <v>-1303377.44</v>
      </c>
      <c r="N54" s="22"/>
      <c r="O54" s="28">
        <v>105668.86</v>
      </c>
      <c r="P54" s="22"/>
      <c r="Q54" s="28">
        <v>1098561.39</v>
      </c>
      <c r="R54" s="22"/>
      <c r="S54" s="28">
        <v>13369.33</v>
      </c>
      <c r="T54" s="22"/>
      <c r="U54" s="28">
        <v>58604.5</v>
      </c>
      <c r="V54" s="22"/>
      <c r="W54" s="28">
        <v>0</v>
      </c>
      <c r="X54" s="22"/>
      <c r="Y54" s="28">
        <v>0</v>
      </c>
      <c r="Z54" s="22"/>
      <c r="AA54" s="28">
        <v>0</v>
      </c>
      <c r="AB54" s="22"/>
      <c r="AC54" s="28">
        <v>-27173.36</v>
      </c>
      <c r="AD54" s="22"/>
      <c r="AE54" s="28">
        <v>329601.88</v>
      </c>
      <c r="AF54" s="22"/>
      <c r="AG54" s="28">
        <v>302428.52</v>
      </c>
    </row>
    <row r="55" spans="1:33" ht="12" customHeight="1">
      <c r="A55" s="19" t="s">
        <v>551</v>
      </c>
      <c r="B55" s="22"/>
      <c r="C55" s="22" t="s">
        <v>103</v>
      </c>
      <c r="D55" s="22"/>
      <c r="E55" s="28">
        <v>557841.77</v>
      </c>
      <c r="F55" s="22"/>
      <c r="G55" s="28">
        <v>21525.85</v>
      </c>
      <c r="H55" s="22"/>
      <c r="I55" s="28">
        <v>0</v>
      </c>
      <c r="J55" s="22"/>
      <c r="K55" s="28">
        <v>0</v>
      </c>
      <c r="L55" s="22"/>
      <c r="M55" s="28">
        <v>-536315.92</v>
      </c>
      <c r="N55" s="22"/>
      <c r="O55" s="28">
        <v>0</v>
      </c>
      <c r="P55" s="22"/>
      <c r="Q55" s="28">
        <v>516947.63</v>
      </c>
      <c r="R55" s="22"/>
      <c r="S55" s="28">
        <v>7234.09</v>
      </c>
      <c r="T55" s="22"/>
      <c r="U55" s="28">
        <v>875.66</v>
      </c>
      <c r="V55" s="22"/>
      <c r="W55" s="28">
        <v>0</v>
      </c>
      <c r="X55" s="22"/>
      <c r="Y55" s="28">
        <v>0</v>
      </c>
      <c r="Z55" s="22"/>
      <c r="AA55" s="28">
        <v>0</v>
      </c>
      <c r="AB55" s="22"/>
      <c r="AC55" s="28">
        <v>-11258.54</v>
      </c>
      <c r="AD55" s="22"/>
      <c r="AE55" s="28">
        <v>123191.64</v>
      </c>
      <c r="AF55" s="22"/>
      <c r="AG55" s="28">
        <v>111933.1</v>
      </c>
    </row>
    <row r="56" spans="1:33" ht="12" customHeight="1">
      <c r="A56" s="19" t="s">
        <v>554</v>
      </c>
      <c r="B56" s="22"/>
      <c r="C56" s="22" t="s">
        <v>139</v>
      </c>
      <c r="D56" s="22"/>
      <c r="E56" s="28">
        <v>620355.88</v>
      </c>
      <c r="F56" s="22"/>
      <c r="G56" s="28">
        <v>21141.43</v>
      </c>
      <c r="H56" s="22"/>
      <c r="I56" s="28">
        <v>0</v>
      </c>
      <c r="J56" s="22"/>
      <c r="K56" s="28">
        <v>0</v>
      </c>
      <c r="L56" s="22"/>
      <c r="M56" s="28">
        <v>-599214.45</v>
      </c>
      <c r="N56" s="22"/>
      <c r="O56" s="28">
        <v>0</v>
      </c>
      <c r="P56" s="22"/>
      <c r="Q56" s="28">
        <v>564838.41</v>
      </c>
      <c r="R56" s="22"/>
      <c r="S56" s="28">
        <v>5440.26</v>
      </c>
      <c r="T56" s="22"/>
      <c r="U56" s="28">
        <v>9337.15</v>
      </c>
      <c r="V56" s="22"/>
      <c r="W56" s="28">
        <v>0</v>
      </c>
      <c r="X56" s="22"/>
      <c r="Y56" s="28">
        <v>0</v>
      </c>
      <c r="Z56" s="22"/>
      <c r="AA56" s="28">
        <v>0</v>
      </c>
      <c r="AB56" s="22"/>
      <c r="AC56" s="28">
        <v>-19598.63</v>
      </c>
      <c r="AD56" s="22"/>
      <c r="AE56" s="28">
        <v>214526.86</v>
      </c>
      <c r="AF56" s="22"/>
      <c r="AG56" s="28">
        <v>194928.23</v>
      </c>
    </row>
    <row r="57" spans="1:33" ht="12" customHeight="1">
      <c r="A57" s="19" t="s">
        <v>555</v>
      </c>
      <c r="B57" s="22"/>
      <c r="C57" s="22" t="s">
        <v>154</v>
      </c>
      <c r="D57" s="22"/>
      <c r="E57" s="28">
        <v>128451.83</v>
      </c>
      <c r="F57" s="22"/>
      <c r="G57" s="28">
        <v>1590.64</v>
      </c>
      <c r="H57" s="22"/>
      <c r="I57" s="28">
        <v>0</v>
      </c>
      <c r="J57" s="22"/>
      <c r="K57" s="28">
        <v>0</v>
      </c>
      <c r="L57" s="22"/>
      <c r="M57" s="28">
        <v>-126861.19</v>
      </c>
      <c r="N57" s="22"/>
      <c r="O57" s="28">
        <v>17232.29</v>
      </c>
      <c r="P57" s="22"/>
      <c r="Q57" s="28">
        <v>110239</v>
      </c>
      <c r="R57" s="22"/>
      <c r="S57" s="28">
        <v>1088.16</v>
      </c>
      <c r="T57" s="22"/>
      <c r="U57" s="28">
        <v>458.9</v>
      </c>
      <c r="V57" s="22"/>
      <c r="W57" s="28">
        <v>0</v>
      </c>
      <c r="X57" s="22"/>
      <c r="Y57" s="28">
        <v>0</v>
      </c>
      <c r="Z57" s="22"/>
      <c r="AA57" s="28">
        <v>0</v>
      </c>
      <c r="AB57" s="22"/>
      <c r="AC57" s="28">
        <v>2157.16</v>
      </c>
      <c r="AD57" s="22"/>
      <c r="AE57" s="28">
        <v>78962.32</v>
      </c>
      <c r="AF57" s="22"/>
      <c r="AG57" s="28">
        <v>81119.48</v>
      </c>
    </row>
    <row r="58" spans="1:33" ht="12" customHeight="1">
      <c r="A58" s="22" t="s">
        <v>380</v>
      </c>
      <c r="B58" s="22"/>
      <c r="C58" s="22" t="s">
        <v>278</v>
      </c>
      <c r="D58" s="22"/>
      <c r="E58" s="28">
        <v>1022889.51</v>
      </c>
      <c r="F58" s="22"/>
      <c r="G58" s="28">
        <v>58380.07</v>
      </c>
      <c r="H58" s="22"/>
      <c r="I58" s="28">
        <v>0</v>
      </c>
      <c r="J58" s="22"/>
      <c r="K58" s="28">
        <v>0</v>
      </c>
      <c r="L58" s="22"/>
      <c r="M58" s="28">
        <v>-964509.44</v>
      </c>
      <c r="N58" s="22"/>
      <c r="O58" s="28">
        <v>340013.91</v>
      </c>
      <c r="P58" s="22"/>
      <c r="Q58" s="28">
        <v>647944.31</v>
      </c>
      <c r="R58" s="22"/>
      <c r="S58" s="28">
        <v>84436.67</v>
      </c>
      <c r="T58" s="22"/>
      <c r="U58" s="28">
        <v>1809.31</v>
      </c>
      <c r="V58" s="22"/>
      <c r="W58" s="28">
        <v>0</v>
      </c>
      <c r="X58" s="22"/>
      <c r="Y58" s="28">
        <v>-1200</v>
      </c>
      <c r="Z58" s="22"/>
      <c r="AA58" s="28">
        <v>0</v>
      </c>
      <c r="AB58" s="22"/>
      <c r="AC58" s="28">
        <v>108494.76</v>
      </c>
      <c r="AD58" s="22"/>
      <c r="AE58" s="28">
        <v>2550187.42</v>
      </c>
      <c r="AF58" s="22"/>
      <c r="AG58" s="28">
        <v>2658682.18</v>
      </c>
    </row>
    <row r="59" spans="1:33" ht="12" customHeight="1">
      <c r="A59" s="19" t="s">
        <v>556</v>
      </c>
      <c r="B59" s="22"/>
      <c r="C59" s="22" t="s">
        <v>136</v>
      </c>
      <c r="D59" s="22"/>
      <c r="E59" s="28">
        <v>189978.47</v>
      </c>
      <c r="F59" s="22"/>
      <c r="G59" s="28">
        <v>10180.85</v>
      </c>
      <c r="H59" s="22"/>
      <c r="I59" s="28">
        <v>0</v>
      </c>
      <c r="J59" s="22"/>
      <c r="K59" s="28">
        <v>0</v>
      </c>
      <c r="L59" s="22"/>
      <c r="M59" s="28">
        <v>-179797.62</v>
      </c>
      <c r="N59" s="22"/>
      <c r="O59" s="28">
        <v>0</v>
      </c>
      <c r="P59" s="22"/>
      <c r="Q59" s="28">
        <v>184838.82</v>
      </c>
      <c r="R59" s="22"/>
      <c r="S59" s="28">
        <v>56433.74</v>
      </c>
      <c r="T59" s="22"/>
      <c r="U59" s="28">
        <v>563.96</v>
      </c>
      <c r="V59" s="22"/>
      <c r="W59" s="28">
        <v>0</v>
      </c>
      <c r="X59" s="22"/>
      <c r="Y59" s="28">
        <v>0</v>
      </c>
      <c r="Z59" s="22"/>
      <c r="AA59" s="28">
        <v>0</v>
      </c>
      <c r="AB59" s="22"/>
      <c r="AC59" s="28">
        <v>62038.9</v>
      </c>
      <c r="AD59" s="22"/>
      <c r="AE59" s="28">
        <v>145715.05</v>
      </c>
      <c r="AF59" s="22"/>
      <c r="AG59" s="28">
        <v>207753.95</v>
      </c>
    </row>
    <row r="60" spans="1:33" ht="12" customHeight="1">
      <c r="A60" s="19" t="s">
        <v>557</v>
      </c>
      <c r="B60" s="22"/>
      <c r="C60" s="22" t="s">
        <v>143</v>
      </c>
      <c r="D60" s="22"/>
      <c r="E60" s="28">
        <v>234818.32</v>
      </c>
      <c r="F60" s="22"/>
      <c r="G60" s="28">
        <v>2002.91</v>
      </c>
      <c r="H60" s="22"/>
      <c r="I60" s="28">
        <v>0</v>
      </c>
      <c r="J60" s="22"/>
      <c r="K60" s="28">
        <v>0</v>
      </c>
      <c r="L60" s="22"/>
      <c r="M60" s="28">
        <v>-232815.41</v>
      </c>
      <c r="N60" s="22"/>
      <c r="O60" s="28">
        <v>0</v>
      </c>
      <c r="P60" s="22"/>
      <c r="Q60" s="28">
        <v>193891.36</v>
      </c>
      <c r="R60" s="22"/>
      <c r="S60" s="28">
        <v>2188.71</v>
      </c>
      <c r="T60" s="22"/>
      <c r="U60" s="28">
        <v>585.46</v>
      </c>
      <c r="V60" s="22"/>
      <c r="W60" s="28">
        <v>0</v>
      </c>
      <c r="X60" s="22"/>
      <c r="Y60" s="28">
        <v>0</v>
      </c>
      <c r="Z60" s="22"/>
      <c r="AA60" s="28">
        <v>0</v>
      </c>
      <c r="AB60" s="22"/>
      <c r="AC60" s="28">
        <v>-36149.88</v>
      </c>
      <c r="AD60" s="22"/>
      <c r="AE60" s="28">
        <v>104338.86</v>
      </c>
      <c r="AF60" s="22"/>
      <c r="AG60" s="28">
        <v>68188.98</v>
      </c>
    </row>
    <row r="61" spans="1:33" ht="12" customHeight="1">
      <c r="A61" s="19" t="s">
        <v>558</v>
      </c>
      <c r="B61" s="22"/>
      <c r="C61" s="22" t="s">
        <v>155</v>
      </c>
      <c r="D61" s="22"/>
      <c r="E61" s="28">
        <v>375282.43</v>
      </c>
      <c r="F61" s="22"/>
      <c r="G61" s="28">
        <v>15262.79</v>
      </c>
      <c r="H61" s="22"/>
      <c r="I61" s="28">
        <v>5202.12</v>
      </c>
      <c r="J61" s="22"/>
      <c r="K61" s="28">
        <v>0</v>
      </c>
      <c r="L61" s="22"/>
      <c r="M61" s="28">
        <v>-354817.52</v>
      </c>
      <c r="N61" s="22"/>
      <c r="O61" s="28">
        <v>0</v>
      </c>
      <c r="P61" s="22"/>
      <c r="Q61" s="28">
        <v>312368.26</v>
      </c>
      <c r="R61" s="22"/>
      <c r="S61" s="28">
        <v>11320.44</v>
      </c>
      <c r="T61" s="22"/>
      <c r="U61" s="28">
        <v>0</v>
      </c>
      <c r="V61" s="22"/>
      <c r="W61" s="28">
        <v>0</v>
      </c>
      <c r="X61" s="22"/>
      <c r="Y61" s="28">
        <v>0</v>
      </c>
      <c r="Z61" s="22"/>
      <c r="AA61" s="28">
        <v>0</v>
      </c>
      <c r="AB61" s="22"/>
      <c r="AC61" s="28">
        <v>-31128.82</v>
      </c>
      <c r="AD61" s="22"/>
      <c r="AE61" s="28">
        <v>399977.99</v>
      </c>
      <c r="AF61" s="22"/>
      <c r="AG61" s="28">
        <v>368849.17</v>
      </c>
    </row>
    <row r="62" spans="1:33" ht="12" customHeight="1">
      <c r="A62" s="19" t="s">
        <v>559</v>
      </c>
      <c r="B62" s="22"/>
      <c r="C62" s="22" t="s">
        <v>161</v>
      </c>
      <c r="D62" s="22"/>
      <c r="E62" s="28">
        <v>280879.72</v>
      </c>
      <c r="F62" s="22"/>
      <c r="G62" s="28">
        <v>13417.91</v>
      </c>
      <c r="H62" s="22"/>
      <c r="I62" s="28">
        <v>0</v>
      </c>
      <c r="J62" s="22"/>
      <c r="K62" s="28">
        <v>0</v>
      </c>
      <c r="L62" s="22"/>
      <c r="M62" s="28">
        <v>-267461.81</v>
      </c>
      <c r="N62" s="22"/>
      <c r="O62" s="28">
        <v>0</v>
      </c>
      <c r="P62" s="22"/>
      <c r="Q62" s="28">
        <v>261334.57</v>
      </c>
      <c r="R62" s="22"/>
      <c r="S62" s="28">
        <v>9143.37</v>
      </c>
      <c r="T62" s="22"/>
      <c r="U62" s="28">
        <v>0</v>
      </c>
      <c r="V62" s="22"/>
      <c r="W62" s="28">
        <v>0</v>
      </c>
      <c r="X62" s="22"/>
      <c r="Y62" s="28">
        <v>0</v>
      </c>
      <c r="Z62" s="22"/>
      <c r="AA62" s="28">
        <v>0</v>
      </c>
      <c r="AB62" s="22"/>
      <c r="AC62" s="28">
        <v>3016.13</v>
      </c>
      <c r="AD62" s="22"/>
      <c r="AE62" s="28">
        <v>233814.12</v>
      </c>
      <c r="AF62" s="22"/>
      <c r="AG62" s="28">
        <v>236830.25</v>
      </c>
    </row>
    <row r="63" spans="1:33" ht="12" customHeight="1">
      <c r="A63" s="19" t="s">
        <v>560</v>
      </c>
      <c r="B63" s="22"/>
      <c r="C63" s="22" t="s">
        <v>138</v>
      </c>
      <c r="D63" s="22"/>
      <c r="E63" s="28">
        <v>180515.61</v>
      </c>
      <c r="F63" s="22"/>
      <c r="G63" s="28">
        <v>3043.43</v>
      </c>
      <c r="H63" s="22"/>
      <c r="I63" s="28">
        <v>0</v>
      </c>
      <c r="J63" s="22"/>
      <c r="K63" s="28">
        <v>0</v>
      </c>
      <c r="L63" s="22"/>
      <c r="M63" s="28">
        <v>-177472.18</v>
      </c>
      <c r="N63" s="22"/>
      <c r="O63" s="28">
        <v>0</v>
      </c>
      <c r="P63" s="22"/>
      <c r="Q63" s="28">
        <v>187432.2</v>
      </c>
      <c r="R63" s="22"/>
      <c r="S63" s="28">
        <v>1079.43</v>
      </c>
      <c r="T63" s="22"/>
      <c r="U63" s="28">
        <v>240.48</v>
      </c>
      <c r="V63" s="22"/>
      <c r="W63" s="28">
        <v>0</v>
      </c>
      <c r="X63" s="22"/>
      <c r="Y63" s="28">
        <v>0</v>
      </c>
      <c r="Z63" s="22"/>
      <c r="AA63" s="28">
        <v>0</v>
      </c>
      <c r="AB63" s="22"/>
      <c r="AC63" s="28">
        <v>11279.93</v>
      </c>
      <c r="AD63" s="22"/>
      <c r="AE63" s="28">
        <v>15318.97</v>
      </c>
      <c r="AF63" s="22"/>
      <c r="AG63" s="28">
        <v>26598.9</v>
      </c>
    </row>
    <row r="64" spans="1:33" ht="12" customHeight="1">
      <c r="A64" s="19" t="s">
        <v>561</v>
      </c>
      <c r="B64" s="22"/>
      <c r="C64" s="22" t="s">
        <v>137</v>
      </c>
      <c r="D64" s="22"/>
      <c r="E64" s="28">
        <v>565495.03</v>
      </c>
      <c r="F64" s="22"/>
      <c r="G64" s="28">
        <v>12356.79</v>
      </c>
      <c r="H64" s="22"/>
      <c r="I64" s="28">
        <v>2225</v>
      </c>
      <c r="J64" s="22"/>
      <c r="K64" s="28">
        <v>0</v>
      </c>
      <c r="L64" s="22"/>
      <c r="M64" s="28">
        <v>-550913.24</v>
      </c>
      <c r="N64" s="22"/>
      <c r="O64" s="28">
        <v>0</v>
      </c>
      <c r="P64" s="22"/>
      <c r="Q64" s="28">
        <v>536444.63</v>
      </c>
      <c r="R64" s="22"/>
      <c r="S64" s="28">
        <v>5261.37</v>
      </c>
      <c r="T64" s="22"/>
      <c r="U64" s="28">
        <v>1600.97</v>
      </c>
      <c r="V64" s="22"/>
      <c r="W64" s="28">
        <v>0</v>
      </c>
      <c r="X64" s="22"/>
      <c r="Y64" s="28">
        <v>0</v>
      </c>
      <c r="Z64" s="22"/>
      <c r="AA64" s="28">
        <v>0</v>
      </c>
      <c r="AB64" s="22"/>
      <c r="AC64" s="28">
        <v>-7606.27</v>
      </c>
      <c r="AD64" s="22"/>
      <c r="AE64" s="28">
        <v>168856.68</v>
      </c>
      <c r="AF64" s="22"/>
      <c r="AG64" s="28">
        <v>161250.41</v>
      </c>
    </row>
    <row r="65" spans="1:33" ht="12" customHeight="1">
      <c r="A65" s="19" t="s">
        <v>562</v>
      </c>
      <c r="B65" s="22"/>
      <c r="C65" s="22" t="s">
        <v>104</v>
      </c>
      <c r="D65" s="22"/>
      <c r="E65" s="28">
        <v>525353.89</v>
      </c>
      <c r="F65" s="22"/>
      <c r="G65" s="28">
        <v>11935.76</v>
      </c>
      <c r="H65" s="22"/>
      <c r="I65" s="28">
        <v>4670.47</v>
      </c>
      <c r="J65" s="22"/>
      <c r="K65" s="28">
        <v>50</v>
      </c>
      <c r="L65" s="22"/>
      <c r="M65" s="28">
        <v>-508697.66</v>
      </c>
      <c r="N65" s="22"/>
      <c r="O65" s="28">
        <v>0</v>
      </c>
      <c r="P65" s="22"/>
      <c r="Q65" s="28">
        <v>518544.49</v>
      </c>
      <c r="R65" s="22"/>
      <c r="S65" s="28">
        <v>29756</v>
      </c>
      <c r="T65" s="22"/>
      <c r="U65" s="28">
        <v>5090.19</v>
      </c>
      <c r="V65" s="22"/>
      <c r="W65" s="28">
        <v>0</v>
      </c>
      <c r="X65" s="22"/>
      <c r="Y65" s="28">
        <v>0</v>
      </c>
      <c r="Z65" s="22"/>
      <c r="AA65" s="28">
        <v>0</v>
      </c>
      <c r="AB65" s="22"/>
      <c r="AC65" s="28">
        <v>44693.02</v>
      </c>
      <c r="AD65" s="22"/>
      <c r="AE65" s="28">
        <v>617774.86</v>
      </c>
      <c r="AF65" s="22"/>
      <c r="AG65" s="28">
        <v>662467.88</v>
      </c>
    </row>
    <row r="66" spans="1:33" ht="12" customHeight="1">
      <c r="A66" s="19" t="s">
        <v>563</v>
      </c>
      <c r="B66" s="22"/>
      <c r="C66" s="22" t="s">
        <v>135</v>
      </c>
      <c r="D66" s="22"/>
      <c r="E66" s="28">
        <v>419602.13</v>
      </c>
      <c r="F66" s="22"/>
      <c r="G66" s="28">
        <v>13457.8</v>
      </c>
      <c r="H66" s="22"/>
      <c r="I66" s="28">
        <v>0</v>
      </c>
      <c r="J66" s="22"/>
      <c r="K66" s="28">
        <v>0</v>
      </c>
      <c r="L66" s="22"/>
      <c r="M66" s="28">
        <v>-406144.33</v>
      </c>
      <c r="N66" s="22"/>
      <c r="O66" s="28">
        <v>0</v>
      </c>
      <c r="P66" s="22"/>
      <c r="Q66" s="28">
        <v>369224.4</v>
      </c>
      <c r="R66" s="22"/>
      <c r="S66" s="28">
        <v>7562.61</v>
      </c>
      <c r="T66" s="22"/>
      <c r="U66" s="28">
        <v>1768.14</v>
      </c>
      <c r="V66" s="22"/>
      <c r="W66" s="28">
        <v>0</v>
      </c>
      <c r="X66" s="22"/>
      <c r="Y66" s="28">
        <v>0</v>
      </c>
      <c r="Z66" s="22"/>
      <c r="AA66" s="28">
        <v>0</v>
      </c>
      <c r="AB66" s="22"/>
      <c r="AC66" s="28">
        <v>-27589.18</v>
      </c>
      <c r="AD66" s="22"/>
      <c r="AE66" s="28">
        <v>199834.91</v>
      </c>
      <c r="AF66" s="22"/>
      <c r="AG66" s="28">
        <v>172245.73</v>
      </c>
    </row>
    <row r="67" spans="1:33" ht="12" customHeight="1">
      <c r="A67" s="19" t="s">
        <v>131</v>
      </c>
      <c r="B67" s="22"/>
      <c r="C67" s="22" t="s">
        <v>135</v>
      </c>
      <c r="D67" s="22"/>
      <c r="E67" s="28">
        <v>411967.91</v>
      </c>
      <c r="F67" s="22"/>
      <c r="G67" s="28">
        <v>12822.7</v>
      </c>
      <c r="H67" s="22"/>
      <c r="I67" s="28">
        <v>3668.84</v>
      </c>
      <c r="J67" s="22"/>
      <c r="K67" s="28">
        <v>0</v>
      </c>
      <c r="L67" s="22"/>
      <c r="M67" s="28">
        <v>-395476.37</v>
      </c>
      <c r="N67" s="22"/>
      <c r="O67" s="28">
        <v>31249.04</v>
      </c>
      <c r="P67" s="22"/>
      <c r="Q67" s="28">
        <v>377990.46</v>
      </c>
      <c r="R67" s="22"/>
      <c r="S67" s="28">
        <v>45316.9</v>
      </c>
      <c r="T67" s="22"/>
      <c r="U67" s="28">
        <v>4306.73</v>
      </c>
      <c r="V67" s="22"/>
      <c r="W67" s="28">
        <v>0</v>
      </c>
      <c r="X67" s="22"/>
      <c r="Y67" s="28">
        <v>0</v>
      </c>
      <c r="Z67" s="22"/>
      <c r="AA67" s="28">
        <v>0</v>
      </c>
      <c r="AB67" s="22"/>
      <c r="AC67" s="28">
        <v>63386.76</v>
      </c>
      <c r="AD67" s="22"/>
      <c r="AE67" s="28">
        <v>941091.52</v>
      </c>
      <c r="AF67" s="22"/>
      <c r="AG67" s="28">
        <v>1004478.28</v>
      </c>
    </row>
    <row r="68" spans="1:33" ht="12" customHeight="1">
      <c r="A68" s="22" t="s">
        <v>418</v>
      </c>
      <c r="B68" s="22"/>
      <c r="C68" s="22" t="s">
        <v>158</v>
      </c>
      <c r="D68" s="22"/>
      <c r="E68" s="28">
        <v>1783596.13</v>
      </c>
      <c r="F68" s="22"/>
      <c r="G68" s="28">
        <v>83056.81</v>
      </c>
      <c r="H68" s="22"/>
      <c r="I68" s="28">
        <v>7065</v>
      </c>
      <c r="J68" s="22"/>
      <c r="K68" s="28">
        <v>0</v>
      </c>
      <c r="L68" s="22"/>
      <c r="M68" s="28">
        <v>-1693474.32</v>
      </c>
      <c r="N68" s="22"/>
      <c r="O68" s="28">
        <v>504004.34</v>
      </c>
      <c r="P68" s="22"/>
      <c r="Q68" s="28">
        <v>1130886.17</v>
      </c>
      <c r="R68" s="22"/>
      <c r="S68" s="28">
        <v>41313.81</v>
      </c>
      <c r="T68" s="22"/>
      <c r="U68" s="28">
        <v>26282.14</v>
      </c>
      <c r="V68" s="22"/>
      <c r="W68" s="28">
        <v>0</v>
      </c>
      <c r="X68" s="22"/>
      <c r="Y68" s="28">
        <v>0</v>
      </c>
      <c r="Z68" s="22"/>
      <c r="AA68" s="28">
        <v>0</v>
      </c>
      <c r="AB68" s="22"/>
      <c r="AC68" s="28">
        <v>9012.14</v>
      </c>
      <c r="AD68" s="22"/>
      <c r="AE68" s="28">
        <v>787698.57</v>
      </c>
      <c r="AF68" s="22"/>
      <c r="AG68" s="28">
        <v>796710.71</v>
      </c>
    </row>
    <row r="69" spans="1:33" ht="12" customHeight="1">
      <c r="A69" s="19" t="s">
        <v>132</v>
      </c>
      <c r="B69" s="22"/>
      <c r="C69" s="22" t="s">
        <v>106</v>
      </c>
      <c r="D69" s="22"/>
      <c r="E69" s="28">
        <v>1241155.93</v>
      </c>
      <c r="F69" s="22"/>
      <c r="G69" s="28">
        <v>29509.31</v>
      </c>
      <c r="H69" s="22"/>
      <c r="I69" s="28">
        <v>0</v>
      </c>
      <c r="J69" s="22"/>
      <c r="K69" s="28">
        <v>0</v>
      </c>
      <c r="L69" s="22"/>
      <c r="M69" s="28">
        <v>-1211646.62</v>
      </c>
      <c r="N69" s="22"/>
      <c r="O69" s="28">
        <v>287445.58</v>
      </c>
      <c r="P69" s="22"/>
      <c r="Q69" s="28">
        <v>886889.64</v>
      </c>
      <c r="R69" s="22"/>
      <c r="S69" s="28">
        <v>61004.2</v>
      </c>
      <c r="T69" s="22"/>
      <c r="U69" s="28">
        <v>14016.42</v>
      </c>
      <c r="V69" s="22"/>
      <c r="W69" s="28">
        <v>0</v>
      </c>
      <c r="X69" s="22"/>
      <c r="Y69" s="28">
        <v>0</v>
      </c>
      <c r="Z69" s="22"/>
      <c r="AA69" s="28">
        <v>0</v>
      </c>
      <c r="AB69" s="22"/>
      <c r="AC69" s="28">
        <v>37709.22</v>
      </c>
      <c r="AD69" s="22"/>
      <c r="AE69" s="28">
        <v>1589099.47</v>
      </c>
      <c r="AF69" s="22"/>
      <c r="AG69" s="28">
        <v>1626808.69</v>
      </c>
    </row>
    <row r="70" spans="1:33" ht="12" customHeight="1">
      <c r="A70" s="19" t="s">
        <v>564</v>
      </c>
      <c r="B70" s="22"/>
      <c r="C70" s="22" t="s">
        <v>162</v>
      </c>
      <c r="D70" s="22"/>
      <c r="E70" s="28">
        <v>828854.72</v>
      </c>
      <c r="F70" s="22"/>
      <c r="G70" s="28">
        <v>27149.33</v>
      </c>
      <c r="H70" s="22"/>
      <c r="I70" s="28">
        <v>0</v>
      </c>
      <c r="J70" s="22"/>
      <c r="K70" s="28">
        <v>0</v>
      </c>
      <c r="L70" s="22"/>
      <c r="M70" s="28">
        <v>-801705.39</v>
      </c>
      <c r="N70" s="22"/>
      <c r="O70" s="28">
        <v>0</v>
      </c>
      <c r="P70" s="22"/>
      <c r="Q70" s="28">
        <v>710092.09</v>
      </c>
      <c r="R70" s="22"/>
      <c r="S70" s="28">
        <v>36462.63</v>
      </c>
      <c r="T70" s="22"/>
      <c r="U70" s="28">
        <v>68892.29</v>
      </c>
      <c r="V70" s="22"/>
      <c r="W70" s="28">
        <v>0</v>
      </c>
      <c r="X70" s="22"/>
      <c r="Y70" s="28">
        <v>0</v>
      </c>
      <c r="Z70" s="22"/>
      <c r="AA70" s="28">
        <v>0</v>
      </c>
      <c r="AB70" s="22"/>
      <c r="AC70" s="28">
        <v>13741.62</v>
      </c>
      <c r="AD70" s="22"/>
      <c r="AE70" s="28">
        <v>926044.35</v>
      </c>
      <c r="AF70" s="22"/>
      <c r="AG70" s="28">
        <v>939785.97</v>
      </c>
    </row>
    <row r="71" spans="1:33" ht="12" customHeight="1">
      <c r="A71" s="19" t="s">
        <v>565</v>
      </c>
      <c r="B71" s="22"/>
      <c r="C71" s="22" t="s">
        <v>163</v>
      </c>
      <c r="D71" s="22"/>
      <c r="E71" s="28">
        <v>257244.24</v>
      </c>
      <c r="F71" s="22"/>
      <c r="G71" s="28">
        <v>1872.63</v>
      </c>
      <c r="H71" s="22"/>
      <c r="I71" s="28">
        <v>0</v>
      </c>
      <c r="J71" s="22"/>
      <c r="K71" s="28">
        <v>0</v>
      </c>
      <c r="L71" s="22"/>
      <c r="M71" s="28">
        <v>-255371.61</v>
      </c>
      <c r="N71" s="22"/>
      <c r="O71" s="28">
        <v>0</v>
      </c>
      <c r="P71" s="22"/>
      <c r="Q71" s="28">
        <v>156620.07</v>
      </c>
      <c r="R71" s="22"/>
      <c r="S71" s="28">
        <v>9608.53</v>
      </c>
      <c r="T71" s="22"/>
      <c r="U71" s="28">
        <v>265.23</v>
      </c>
      <c r="V71" s="22"/>
      <c r="W71" s="28">
        <v>0</v>
      </c>
      <c r="X71" s="22"/>
      <c r="Y71" s="28">
        <v>0</v>
      </c>
      <c r="Z71" s="22"/>
      <c r="AA71" s="28">
        <v>0</v>
      </c>
      <c r="AB71" s="22"/>
      <c r="AC71" s="28">
        <v>-88877.78</v>
      </c>
      <c r="AD71" s="22"/>
      <c r="AE71" s="28">
        <v>230671.24</v>
      </c>
      <c r="AF71" s="22"/>
      <c r="AG71" s="28">
        <v>141793.46</v>
      </c>
    </row>
    <row r="72" spans="1:33" ht="12" customHeight="1">
      <c r="A72" s="22" t="s">
        <v>429</v>
      </c>
      <c r="B72" s="22"/>
      <c r="C72" s="22" t="s">
        <v>148</v>
      </c>
      <c r="D72" s="22"/>
      <c r="E72" s="28">
        <v>1608509.1</v>
      </c>
      <c r="F72" s="22"/>
      <c r="G72" s="28">
        <v>54106.95</v>
      </c>
      <c r="H72" s="22"/>
      <c r="I72" s="28">
        <v>0</v>
      </c>
      <c r="J72" s="22"/>
      <c r="K72" s="28">
        <v>4045</v>
      </c>
      <c r="L72" s="22"/>
      <c r="M72" s="28">
        <v>-1550357.15</v>
      </c>
      <c r="N72" s="22"/>
      <c r="O72" s="28">
        <v>233238.22</v>
      </c>
      <c r="P72" s="22"/>
      <c r="Q72" s="28">
        <v>1470830.95</v>
      </c>
      <c r="R72" s="22"/>
      <c r="S72" s="28">
        <v>50477.31</v>
      </c>
      <c r="T72" s="22"/>
      <c r="U72" s="28">
        <v>8136.83</v>
      </c>
      <c r="V72" s="22"/>
      <c r="W72" s="28">
        <v>0</v>
      </c>
      <c r="X72" s="22"/>
      <c r="Y72" s="28">
        <v>0</v>
      </c>
      <c r="Z72" s="22"/>
      <c r="AA72" s="28">
        <v>0</v>
      </c>
      <c r="AB72" s="22"/>
      <c r="AC72" s="28">
        <v>212326.16</v>
      </c>
      <c r="AD72" s="22"/>
      <c r="AE72" s="28">
        <v>855253.98</v>
      </c>
      <c r="AF72" s="22"/>
      <c r="AG72" s="28">
        <v>1067580.14</v>
      </c>
    </row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</sheetData>
  <mergeCells count="3">
    <mergeCell ref="A1:E1"/>
    <mergeCell ref="G7:K7"/>
    <mergeCell ref="O7:U7"/>
  </mergeCells>
  <printOptions/>
  <pageMargins left="0.75" right="0.75" top="0.5" bottom="0.5" header="0" footer="0.25"/>
  <pageSetup firstPageNumber="4" useFirstPageNumber="1" horizontalDpi="600" verticalDpi="600" orientation="portrait" scale="82" r:id="rId1"/>
  <headerFooter alignWithMargins="0">
    <oddFooter>&amp;C&amp;P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60"/>
  <sheetViews>
    <sheetView view="pageBreakPreview" zoomScaleSheetLayoutView="10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31.8515625" style="2" bestFit="1" customWidth="1"/>
    <col min="2" max="2" width="1.7109375" style="2" customWidth="1"/>
    <col min="3" max="3" width="11.140625" style="2" bestFit="1" customWidth="1"/>
    <col min="4" max="4" width="28.00390625" style="2" hidden="1" customWidth="1"/>
    <col min="5" max="5" width="1.7109375" style="2" customWidth="1"/>
    <col min="6" max="6" width="11.7109375" style="2" customWidth="1"/>
    <col min="7" max="7" width="1.7109375" style="2" customWidth="1"/>
    <col min="8" max="8" width="11.7109375" style="2" customWidth="1"/>
    <col min="9" max="9" width="1.7109375" style="2" customWidth="1"/>
    <col min="10" max="10" width="13.7109375" style="2" customWidth="1"/>
    <col min="11" max="11" width="1.7109375" style="2" customWidth="1"/>
    <col min="12" max="12" width="11.7109375" style="2" customWidth="1"/>
    <col min="13" max="13" width="1.7109375" style="2" customWidth="1"/>
    <col min="14" max="14" width="11.7109375" style="2" customWidth="1"/>
    <col min="15" max="15" width="1.7109375" style="2" customWidth="1"/>
    <col min="16" max="16" width="11.7109375" style="2" customWidth="1"/>
    <col min="17" max="17" width="1.7109375" style="2" customWidth="1"/>
    <col min="18" max="18" width="11.7109375" style="2" customWidth="1"/>
    <col min="19" max="19" width="1.7109375" style="2" customWidth="1"/>
    <col min="20" max="20" width="11.7109375" style="2" customWidth="1"/>
    <col min="21" max="21" width="1.7109375" style="2" customWidth="1"/>
    <col min="22" max="22" width="11.57421875" style="2" customWidth="1"/>
    <col min="23" max="23" width="1.7109375" style="2" customWidth="1"/>
    <col min="24" max="24" width="11.7109375" style="2" customWidth="1"/>
    <col min="25" max="25" width="1.7109375" style="2" customWidth="1"/>
    <col min="26" max="26" width="11.7109375" style="2" customWidth="1"/>
    <col min="27" max="27" width="1.7109375" style="2" customWidth="1"/>
    <col min="28" max="28" width="11.7109375" style="2" customWidth="1"/>
    <col min="29" max="29" width="1.7109375" style="2" customWidth="1"/>
    <col min="30" max="30" width="12.7109375" style="2" customWidth="1"/>
    <col min="31" max="16384" width="9.140625" style="2" customWidth="1"/>
  </cols>
  <sheetData>
    <row r="1" ht="12">
      <c r="A1" s="2" t="s">
        <v>605</v>
      </c>
    </row>
    <row r="2" ht="12">
      <c r="A2" s="2" t="s">
        <v>513</v>
      </c>
    </row>
    <row r="3" ht="12">
      <c r="A3" s="39" t="s">
        <v>98</v>
      </c>
    </row>
    <row r="4" s="10" customFormat="1" ht="12">
      <c r="H4" s="10" t="s">
        <v>431</v>
      </c>
    </row>
    <row r="5" spans="6:28" s="10" customFormat="1" ht="12">
      <c r="F5" s="10" t="s">
        <v>122</v>
      </c>
      <c r="H5" s="10" t="s">
        <v>432</v>
      </c>
      <c r="N5" s="10" t="s">
        <v>120</v>
      </c>
      <c r="P5" s="10" t="s">
        <v>439</v>
      </c>
      <c r="V5" s="10" t="s">
        <v>444</v>
      </c>
      <c r="AB5" s="10" t="s">
        <v>0</v>
      </c>
    </row>
    <row r="6" spans="6:28" s="10" customFormat="1" ht="12" customHeight="1">
      <c r="F6" s="10" t="s">
        <v>0</v>
      </c>
      <c r="H6" s="10" t="s">
        <v>433</v>
      </c>
      <c r="J6" s="10" t="s">
        <v>511</v>
      </c>
      <c r="L6" s="10" t="s">
        <v>435</v>
      </c>
      <c r="N6" s="10" t="s">
        <v>437</v>
      </c>
      <c r="P6" s="10" t="s">
        <v>440</v>
      </c>
      <c r="R6" s="10" t="s">
        <v>442</v>
      </c>
      <c r="V6" s="10" t="s">
        <v>445</v>
      </c>
      <c r="AB6" s="10" t="s">
        <v>446</v>
      </c>
    </row>
    <row r="7" spans="1:30" s="10" customFormat="1" ht="12" customHeight="1">
      <c r="A7" s="1" t="s">
        <v>10</v>
      </c>
      <c r="C7" s="1" t="s">
        <v>11</v>
      </c>
      <c r="D7" s="1" t="s">
        <v>11</v>
      </c>
      <c r="E7" s="6"/>
      <c r="F7" s="1" t="s">
        <v>430</v>
      </c>
      <c r="G7" s="6"/>
      <c r="H7" s="1" t="s">
        <v>434</v>
      </c>
      <c r="I7" s="6"/>
      <c r="J7" s="1" t="s">
        <v>512</v>
      </c>
      <c r="K7" s="6"/>
      <c r="L7" s="1" t="s">
        <v>436</v>
      </c>
      <c r="M7" s="6"/>
      <c r="N7" s="1" t="s">
        <v>438</v>
      </c>
      <c r="O7" s="6"/>
      <c r="P7" s="1" t="s">
        <v>441</v>
      </c>
      <c r="Q7" s="6"/>
      <c r="R7" s="1" t="s">
        <v>443</v>
      </c>
      <c r="S7" s="6"/>
      <c r="T7" s="1" t="s">
        <v>1</v>
      </c>
      <c r="U7" s="6"/>
      <c r="V7" s="1" t="s">
        <v>123</v>
      </c>
      <c r="W7" s="6"/>
      <c r="X7" s="1" t="s">
        <v>2</v>
      </c>
      <c r="Y7" s="6"/>
      <c r="Z7" s="1" t="s">
        <v>4</v>
      </c>
      <c r="AA7" s="6"/>
      <c r="AB7" s="1" t="s">
        <v>447</v>
      </c>
      <c r="AC7" s="6"/>
      <c r="AD7" s="7" t="s">
        <v>119</v>
      </c>
    </row>
    <row r="8" spans="1:30" s="5" customFormat="1" ht="12">
      <c r="A8" s="5" t="s">
        <v>166</v>
      </c>
      <c r="C8" s="5" t="s">
        <v>154</v>
      </c>
      <c r="D8" s="5" t="s">
        <v>53</v>
      </c>
      <c r="F8" s="5">
        <v>0</v>
      </c>
      <c r="H8" s="5">
        <v>292626.8</v>
      </c>
      <c r="J8" s="5">
        <v>0</v>
      </c>
      <c r="L8" s="5">
        <v>4751.19</v>
      </c>
      <c r="N8" s="5">
        <v>0</v>
      </c>
      <c r="P8" s="5">
        <v>2362.98</v>
      </c>
      <c r="R8" s="5">
        <v>7543.78</v>
      </c>
      <c r="T8" s="5">
        <v>0</v>
      </c>
      <c r="V8" s="5">
        <v>0</v>
      </c>
      <c r="X8" s="5">
        <v>0</v>
      </c>
      <c r="Z8" s="5">
        <v>0</v>
      </c>
      <c r="AB8" s="5">
        <v>0</v>
      </c>
      <c r="AD8" s="5">
        <f>SUM(F8:AB8)</f>
        <v>307284.75</v>
      </c>
    </row>
    <row r="9" spans="1:30" ht="12">
      <c r="A9" s="2" t="s">
        <v>167</v>
      </c>
      <c r="C9" s="2" t="s">
        <v>133</v>
      </c>
      <c r="D9" s="4" t="s">
        <v>85</v>
      </c>
      <c r="F9" s="3">
        <v>0</v>
      </c>
      <c r="G9" s="3"/>
      <c r="H9" s="3">
        <v>997464.5</v>
      </c>
      <c r="I9" s="3"/>
      <c r="J9" s="3">
        <v>0</v>
      </c>
      <c r="K9" s="3"/>
      <c r="L9" s="3">
        <v>32086.6</v>
      </c>
      <c r="M9" s="3"/>
      <c r="N9" s="3">
        <v>0</v>
      </c>
      <c r="O9" s="3"/>
      <c r="P9" s="3">
        <v>585</v>
      </c>
      <c r="Q9" s="3"/>
      <c r="R9" s="3">
        <v>78656.45</v>
      </c>
      <c r="S9" s="3"/>
      <c r="T9" s="3">
        <v>1262.07</v>
      </c>
      <c r="U9" s="3"/>
      <c r="V9" s="3">
        <v>0</v>
      </c>
      <c r="W9" s="3"/>
      <c r="X9" s="3">
        <v>0</v>
      </c>
      <c r="Y9" s="3"/>
      <c r="Z9" s="3">
        <v>0</v>
      </c>
      <c r="AA9" s="3"/>
      <c r="AB9" s="3">
        <v>0</v>
      </c>
      <c r="AC9" s="3"/>
      <c r="AD9" s="3">
        <f>SUM(F9:AB9)</f>
        <v>1110054.62</v>
      </c>
    </row>
    <row r="10" spans="1:30" s="11" customFormat="1" ht="12">
      <c r="A10" s="11" t="s">
        <v>164</v>
      </c>
      <c r="C10" s="11" t="s">
        <v>134</v>
      </c>
      <c r="D10" s="11" t="s">
        <v>16</v>
      </c>
      <c r="F10" s="12">
        <v>0</v>
      </c>
      <c r="G10" s="12"/>
      <c r="H10" s="12">
        <v>313806.35</v>
      </c>
      <c r="I10" s="12"/>
      <c r="J10" s="12">
        <v>0</v>
      </c>
      <c r="K10" s="12"/>
      <c r="L10" s="12">
        <v>7378.93</v>
      </c>
      <c r="M10" s="12"/>
      <c r="N10" s="12">
        <v>0</v>
      </c>
      <c r="O10" s="12"/>
      <c r="P10" s="12">
        <v>835</v>
      </c>
      <c r="Q10" s="12"/>
      <c r="R10" s="12">
        <v>29530.16</v>
      </c>
      <c r="S10" s="12"/>
      <c r="T10" s="12">
        <v>1622.54</v>
      </c>
      <c r="U10" s="12"/>
      <c r="V10" s="12">
        <v>1317.59</v>
      </c>
      <c r="W10" s="12"/>
      <c r="X10" s="12">
        <v>0</v>
      </c>
      <c r="Y10" s="12"/>
      <c r="Z10" s="12">
        <v>0</v>
      </c>
      <c r="AA10" s="12"/>
      <c r="AB10" s="12">
        <v>0</v>
      </c>
      <c r="AC10" s="12"/>
      <c r="AD10" s="12">
        <f aca="true" t="shared" si="0" ref="AD10:AD72">SUM(F10:AB10)</f>
        <v>354490.56999999995</v>
      </c>
    </row>
    <row r="11" spans="1:30" s="11" customFormat="1" ht="12">
      <c r="A11" s="11" t="s">
        <v>168</v>
      </c>
      <c r="C11" s="11" t="s">
        <v>154</v>
      </c>
      <c r="D11" s="11" t="s">
        <v>53</v>
      </c>
      <c r="F11" s="12">
        <v>0</v>
      </c>
      <c r="G11" s="12"/>
      <c r="H11" s="12">
        <v>70095.36</v>
      </c>
      <c r="I11" s="12"/>
      <c r="J11" s="12">
        <v>0</v>
      </c>
      <c r="K11" s="12"/>
      <c r="L11" s="12">
        <v>1917.15</v>
      </c>
      <c r="M11" s="12"/>
      <c r="N11" s="12">
        <v>0</v>
      </c>
      <c r="O11" s="12"/>
      <c r="P11" s="12">
        <v>275</v>
      </c>
      <c r="Q11" s="12"/>
      <c r="R11" s="12">
        <v>3832.77</v>
      </c>
      <c r="S11" s="12"/>
      <c r="T11" s="12">
        <v>293</v>
      </c>
      <c r="U11" s="12"/>
      <c r="V11" s="12">
        <v>172.36</v>
      </c>
      <c r="W11" s="12"/>
      <c r="X11" s="12">
        <v>0</v>
      </c>
      <c r="Y11" s="12"/>
      <c r="Z11" s="12">
        <v>0</v>
      </c>
      <c r="AA11" s="12"/>
      <c r="AB11" s="12">
        <v>0</v>
      </c>
      <c r="AC11" s="12"/>
      <c r="AD11" s="12">
        <f t="shared" si="0"/>
        <v>76585.64</v>
      </c>
    </row>
    <row r="12" spans="1:30" s="11" customFormat="1" ht="12">
      <c r="A12" s="11" t="s">
        <v>169</v>
      </c>
      <c r="C12" s="11" t="s">
        <v>150</v>
      </c>
      <c r="D12" s="11" t="s">
        <v>18</v>
      </c>
      <c r="F12" s="12">
        <v>0</v>
      </c>
      <c r="G12" s="12"/>
      <c r="H12" s="12">
        <v>773949.98</v>
      </c>
      <c r="I12" s="12"/>
      <c r="J12" s="12">
        <v>53066.04</v>
      </c>
      <c r="K12" s="12"/>
      <c r="L12" s="12">
        <v>29426.95</v>
      </c>
      <c r="M12" s="12"/>
      <c r="N12" s="12">
        <v>0</v>
      </c>
      <c r="O12" s="12"/>
      <c r="P12" s="12">
        <v>350</v>
      </c>
      <c r="Q12" s="12"/>
      <c r="R12" s="12">
        <v>15652.82</v>
      </c>
      <c r="S12" s="12"/>
      <c r="T12" s="12">
        <v>3001.32</v>
      </c>
      <c r="U12" s="12"/>
      <c r="V12" s="12">
        <v>0</v>
      </c>
      <c r="W12" s="12"/>
      <c r="X12" s="12">
        <v>0</v>
      </c>
      <c r="Y12" s="12"/>
      <c r="Z12" s="12">
        <v>0</v>
      </c>
      <c r="AA12" s="12"/>
      <c r="AB12" s="12">
        <v>0</v>
      </c>
      <c r="AC12" s="12"/>
      <c r="AD12" s="12">
        <f t="shared" si="0"/>
        <v>875447.1099999999</v>
      </c>
    </row>
    <row r="13" spans="1:30" s="11" customFormat="1" ht="12">
      <c r="A13" s="11" t="s">
        <v>170</v>
      </c>
      <c r="C13" s="11" t="s">
        <v>171</v>
      </c>
      <c r="D13" s="11" t="s">
        <v>19</v>
      </c>
      <c r="F13" s="12">
        <v>0</v>
      </c>
      <c r="G13" s="12"/>
      <c r="H13" s="12">
        <v>1781248</v>
      </c>
      <c r="I13" s="12"/>
      <c r="J13" s="12">
        <v>0</v>
      </c>
      <c r="K13" s="12"/>
      <c r="L13" s="12">
        <v>32706</v>
      </c>
      <c r="M13" s="12"/>
      <c r="N13" s="12">
        <v>0</v>
      </c>
      <c r="O13" s="12"/>
      <c r="P13" s="12">
        <v>25385</v>
      </c>
      <c r="Q13" s="12"/>
      <c r="R13" s="12">
        <v>234554</v>
      </c>
      <c r="S13" s="12"/>
      <c r="T13" s="12">
        <v>5530</v>
      </c>
      <c r="U13" s="12"/>
      <c r="V13" s="12">
        <v>0</v>
      </c>
      <c r="W13" s="12"/>
      <c r="X13" s="12">
        <v>0</v>
      </c>
      <c r="Y13" s="12"/>
      <c r="Z13" s="12">
        <v>0</v>
      </c>
      <c r="AA13" s="12"/>
      <c r="AB13" s="12">
        <v>0</v>
      </c>
      <c r="AC13" s="12"/>
      <c r="AD13" s="12">
        <f t="shared" si="0"/>
        <v>2079423</v>
      </c>
    </row>
    <row r="14" spans="1:30" s="11" customFormat="1" ht="12">
      <c r="A14" s="11" t="s">
        <v>172</v>
      </c>
      <c r="C14" s="11" t="s">
        <v>136</v>
      </c>
      <c r="D14" s="11" t="s">
        <v>20</v>
      </c>
      <c r="F14" s="12">
        <v>0</v>
      </c>
      <c r="G14" s="12"/>
      <c r="H14" s="12">
        <v>270118</v>
      </c>
      <c r="I14" s="12"/>
      <c r="J14" s="12">
        <v>0</v>
      </c>
      <c r="K14" s="12"/>
      <c r="L14" s="12">
        <v>12363</v>
      </c>
      <c r="M14" s="12"/>
      <c r="N14" s="12">
        <v>0</v>
      </c>
      <c r="O14" s="12"/>
      <c r="P14" s="12">
        <v>3674</v>
      </c>
      <c r="Q14" s="12"/>
      <c r="R14" s="12">
        <v>1164</v>
      </c>
      <c r="S14" s="12"/>
      <c r="T14" s="12">
        <v>0</v>
      </c>
      <c r="U14" s="12"/>
      <c r="V14" s="12">
        <v>0</v>
      </c>
      <c r="W14" s="12"/>
      <c r="X14" s="12">
        <v>0</v>
      </c>
      <c r="Y14" s="12"/>
      <c r="Z14" s="12">
        <v>0</v>
      </c>
      <c r="AA14" s="12"/>
      <c r="AB14" s="12">
        <v>0</v>
      </c>
      <c r="AC14" s="12"/>
      <c r="AD14" s="12">
        <f t="shared" si="0"/>
        <v>287319</v>
      </c>
    </row>
    <row r="15" spans="1:30" s="11" customFormat="1" ht="12">
      <c r="A15" s="11" t="s">
        <v>173</v>
      </c>
      <c r="C15" s="11" t="s">
        <v>174</v>
      </c>
      <c r="D15" s="11" t="s">
        <v>86</v>
      </c>
      <c r="F15" s="12">
        <v>0</v>
      </c>
      <c r="G15" s="12"/>
      <c r="H15" s="12">
        <v>304439.41</v>
      </c>
      <c r="I15" s="12"/>
      <c r="J15" s="12">
        <v>0</v>
      </c>
      <c r="K15" s="12"/>
      <c r="L15" s="12">
        <v>7416.89</v>
      </c>
      <c r="M15" s="12"/>
      <c r="N15" s="12">
        <v>0</v>
      </c>
      <c r="O15" s="12"/>
      <c r="P15" s="12">
        <v>8274.22</v>
      </c>
      <c r="Q15" s="12"/>
      <c r="R15" s="12">
        <v>5341</v>
      </c>
      <c r="S15" s="12"/>
      <c r="T15" s="12">
        <v>311.18</v>
      </c>
      <c r="U15" s="12"/>
      <c r="V15" s="12">
        <v>0</v>
      </c>
      <c r="W15" s="12"/>
      <c r="X15" s="12">
        <v>0</v>
      </c>
      <c r="Y15" s="12"/>
      <c r="Z15" s="12">
        <v>0</v>
      </c>
      <c r="AA15" s="12"/>
      <c r="AB15" s="12">
        <v>0</v>
      </c>
      <c r="AC15" s="12"/>
      <c r="AD15" s="12">
        <f t="shared" si="0"/>
        <v>325782.69999999995</v>
      </c>
    </row>
    <row r="16" spans="1:30" s="11" customFormat="1" ht="12">
      <c r="A16" s="11" t="s">
        <v>448</v>
      </c>
      <c r="C16" s="11" t="s">
        <v>135</v>
      </c>
      <c r="D16" s="11" t="s">
        <v>87</v>
      </c>
      <c r="F16" s="12">
        <v>0</v>
      </c>
      <c r="G16" s="12"/>
      <c r="H16" s="12">
        <v>279886.04</v>
      </c>
      <c r="I16" s="12"/>
      <c r="J16" s="12">
        <v>14388.68</v>
      </c>
      <c r="K16" s="12"/>
      <c r="L16" s="12">
        <v>15678.11</v>
      </c>
      <c r="M16" s="12"/>
      <c r="N16" s="12">
        <v>0</v>
      </c>
      <c r="O16" s="12"/>
      <c r="P16" s="12">
        <v>2834.64</v>
      </c>
      <c r="Q16" s="12"/>
      <c r="R16" s="12">
        <v>5972.07</v>
      </c>
      <c r="S16" s="12"/>
      <c r="T16" s="12">
        <v>4825.56</v>
      </c>
      <c r="U16" s="12"/>
      <c r="V16" s="12">
        <v>0</v>
      </c>
      <c r="W16" s="12"/>
      <c r="X16" s="12">
        <v>0</v>
      </c>
      <c r="Y16" s="12"/>
      <c r="Z16" s="12">
        <v>0</v>
      </c>
      <c r="AA16" s="12"/>
      <c r="AB16" s="12">
        <v>0</v>
      </c>
      <c r="AC16" s="12"/>
      <c r="AD16" s="12">
        <f t="shared" si="0"/>
        <v>323585.1</v>
      </c>
    </row>
    <row r="17" spans="1:30" s="11" customFormat="1" ht="12">
      <c r="A17" s="11" t="s">
        <v>176</v>
      </c>
      <c r="C17" s="11" t="s">
        <v>177</v>
      </c>
      <c r="D17" s="11" t="s">
        <v>21</v>
      </c>
      <c r="F17" s="12">
        <v>12206</v>
      </c>
      <c r="G17" s="12"/>
      <c r="H17" s="12">
        <v>0</v>
      </c>
      <c r="I17" s="12"/>
      <c r="J17" s="12">
        <v>1256366</v>
      </c>
      <c r="K17" s="12"/>
      <c r="L17" s="12">
        <v>50863</v>
      </c>
      <c r="M17" s="12"/>
      <c r="N17" s="12">
        <v>0</v>
      </c>
      <c r="O17" s="12"/>
      <c r="P17" s="12">
        <v>1265</v>
      </c>
      <c r="Q17" s="12"/>
      <c r="R17" s="12">
        <v>105244</v>
      </c>
      <c r="S17" s="12"/>
      <c r="T17" s="12">
        <v>26637</v>
      </c>
      <c r="U17" s="12"/>
      <c r="V17" s="12">
        <v>0</v>
      </c>
      <c r="W17" s="12"/>
      <c r="X17" s="12">
        <v>0</v>
      </c>
      <c r="Y17" s="12"/>
      <c r="Z17" s="12">
        <v>0</v>
      </c>
      <c r="AA17" s="12"/>
      <c r="AB17" s="12">
        <v>0</v>
      </c>
      <c r="AC17" s="12"/>
      <c r="AD17" s="12">
        <f t="shared" si="0"/>
        <v>1452581</v>
      </c>
    </row>
    <row r="18" spans="1:30" s="11" customFormat="1" ht="12">
      <c r="A18" s="11" t="s">
        <v>178</v>
      </c>
      <c r="C18" s="11" t="s">
        <v>136</v>
      </c>
      <c r="D18" s="11" t="s">
        <v>20</v>
      </c>
      <c r="F18" s="12">
        <v>0</v>
      </c>
      <c r="G18" s="12"/>
      <c r="H18" s="12">
        <v>0</v>
      </c>
      <c r="I18" s="12"/>
      <c r="J18" s="12">
        <v>0</v>
      </c>
      <c r="K18" s="12"/>
      <c r="L18" s="12">
        <v>40614.24</v>
      </c>
      <c r="M18" s="12"/>
      <c r="N18" s="12">
        <v>0</v>
      </c>
      <c r="O18" s="12"/>
      <c r="P18" s="12">
        <v>9887.54</v>
      </c>
      <c r="Q18" s="12"/>
      <c r="R18" s="12">
        <v>3809.21</v>
      </c>
      <c r="S18" s="12"/>
      <c r="T18" s="12">
        <v>89663.84</v>
      </c>
      <c r="U18" s="12"/>
      <c r="V18" s="12">
        <v>0</v>
      </c>
      <c r="W18" s="12"/>
      <c r="X18" s="12">
        <v>190191.67</v>
      </c>
      <c r="Y18" s="12"/>
      <c r="Z18" s="12">
        <v>0</v>
      </c>
      <c r="AA18" s="12"/>
      <c r="AB18" s="12">
        <v>0</v>
      </c>
      <c r="AC18" s="12"/>
      <c r="AD18" s="12">
        <f t="shared" si="0"/>
        <v>334166.5</v>
      </c>
    </row>
    <row r="19" spans="1:30" s="11" customFormat="1" ht="12">
      <c r="A19" s="11" t="s">
        <v>179</v>
      </c>
      <c r="C19" s="11" t="s">
        <v>137</v>
      </c>
      <c r="D19" s="11" t="s">
        <v>88</v>
      </c>
      <c r="F19" s="12">
        <v>0</v>
      </c>
      <c r="G19" s="12"/>
      <c r="H19" s="12">
        <v>1242021.37</v>
      </c>
      <c r="I19" s="12"/>
      <c r="J19" s="12">
        <v>0</v>
      </c>
      <c r="K19" s="12"/>
      <c r="L19" s="12">
        <v>19822.37</v>
      </c>
      <c r="M19" s="12"/>
      <c r="N19" s="12">
        <v>0</v>
      </c>
      <c r="O19" s="12"/>
      <c r="P19" s="12">
        <v>13929.9</v>
      </c>
      <c r="Q19" s="12"/>
      <c r="R19" s="12">
        <v>108594.69</v>
      </c>
      <c r="S19" s="12"/>
      <c r="T19" s="12">
        <v>24907.84</v>
      </c>
      <c r="U19" s="12"/>
      <c r="V19" s="12">
        <v>0</v>
      </c>
      <c r="W19" s="12"/>
      <c r="X19" s="12">
        <v>0</v>
      </c>
      <c r="Y19" s="12"/>
      <c r="Z19" s="12">
        <v>0</v>
      </c>
      <c r="AA19" s="12"/>
      <c r="AB19" s="12">
        <v>0</v>
      </c>
      <c r="AC19" s="12"/>
      <c r="AD19" s="12">
        <f t="shared" si="0"/>
        <v>1409276.1700000002</v>
      </c>
    </row>
    <row r="20" spans="1:30" s="11" customFormat="1" ht="12">
      <c r="A20" s="11" t="s">
        <v>180</v>
      </c>
      <c r="C20" s="11" t="s">
        <v>150</v>
      </c>
      <c r="D20" s="11" t="s">
        <v>18</v>
      </c>
      <c r="F20" s="12">
        <v>1238116</v>
      </c>
      <c r="G20" s="12"/>
      <c r="H20" s="12">
        <v>789585</v>
      </c>
      <c r="I20" s="12"/>
      <c r="J20" s="12">
        <v>140782</v>
      </c>
      <c r="K20" s="12"/>
      <c r="L20" s="12">
        <v>60283</v>
      </c>
      <c r="M20" s="12"/>
      <c r="N20" s="12">
        <v>0</v>
      </c>
      <c r="O20" s="12"/>
      <c r="P20" s="12">
        <v>505</v>
      </c>
      <c r="Q20" s="12"/>
      <c r="R20" s="12">
        <v>29590</v>
      </c>
      <c r="S20" s="12"/>
      <c r="T20" s="12">
        <v>424</v>
      </c>
      <c r="U20" s="12"/>
      <c r="V20" s="12">
        <v>0</v>
      </c>
      <c r="W20" s="12"/>
      <c r="X20" s="12">
        <v>0</v>
      </c>
      <c r="Y20" s="12"/>
      <c r="Z20" s="12">
        <v>0</v>
      </c>
      <c r="AA20" s="12"/>
      <c r="AB20" s="12">
        <v>0</v>
      </c>
      <c r="AC20" s="12"/>
      <c r="AD20" s="12">
        <f t="shared" si="0"/>
        <v>2259285</v>
      </c>
    </row>
    <row r="21" spans="1:63" s="38" customFormat="1" ht="12">
      <c r="A21" s="11" t="s">
        <v>523</v>
      </c>
      <c r="B21" s="11"/>
      <c r="C21" s="12" t="s">
        <v>602</v>
      </c>
      <c r="D21" s="12"/>
      <c r="E21" s="11"/>
      <c r="F21" s="12">
        <v>0</v>
      </c>
      <c r="G21" s="12"/>
      <c r="H21" s="12">
        <v>1097723.77</v>
      </c>
      <c r="I21" s="12"/>
      <c r="J21" s="12">
        <v>55134.4</v>
      </c>
      <c r="K21" s="12"/>
      <c r="L21" s="12">
        <v>33734.98</v>
      </c>
      <c r="M21" s="12"/>
      <c r="N21" s="12">
        <v>0</v>
      </c>
      <c r="O21" s="12"/>
      <c r="P21" s="12">
        <v>3726.19</v>
      </c>
      <c r="Q21" s="12"/>
      <c r="R21" s="12">
        <v>21019.66</v>
      </c>
      <c r="S21" s="12"/>
      <c r="T21" s="12">
        <v>2961.34</v>
      </c>
      <c r="U21" s="12"/>
      <c r="V21" s="12">
        <v>0</v>
      </c>
      <c r="W21" s="12"/>
      <c r="X21" s="12">
        <v>0</v>
      </c>
      <c r="Y21" s="12"/>
      <c r="Z21" s="12">
        <v>0</v>
      </c>
      <c r="AA21" s="12"/>
      <c r="AB21" s="12">
        <v>0</v>
      </c>
      <c r="AC21" s="11"/>
      <c r="AD21" s="12">
        <f t="shared" si="0"/>
        <v>1214300.3399999999</v>
      </c>
      <c r="AE21" s="36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</row>
    <row r="22" spans="1:30" s="11" customFormat="1" ht="12">
      <c r="A22" s="11" t="s">
        <v>112</v>
      </c>
      <c r="C22" s="11" t="s">
        <v>104</v>
      </c>
      <c r="D22" s="11" t="s">
        <v>22</v>
      </c>
      <c r="F22" s="12">
        <v>0</v>
      </c>
      <c r="G22" s="12"/>
      <c r="H22" s="12">
        <v>513655</v>
      </c>
      <c r="I22" s="12"/>
      <c r="J22" s="12">
        <v>0</v>
      </c>
      <c r="K22" s="12"/>
      <c r="L22" s="12">
        <v>19230</v>
      </c>
      <c r="M22" s="12"/>
      <c r="N22" s="12">
        <v>0</v>
      </c>
      <c r="O22" s="12"/>
      <c r="P22" s="12">
        <v>4970</v>
      </c>
      <c r="Q22" s="12"/>
      <c r="R22" s="12">
        <v>12281</v>
      </c>
      <c r="S22" s="12"/>
      <c r="T22" s="12">
        <v>2784</v>
      </c>
      <c r="U22" s="12"/>
      <c r="V22" s="12">
        <v>0</v>
      </c>
      <c r="W22" s="12"/>
      <c r="X22" s="12">
        <v>0</v>
      </c>
      <c r="Y22" s="12"/>
      <c r="Z22" s="12">
        <v>0</v>
      </c>
      <c r="AA22" s="12"/>
      <c r="AB22" s="12">
        <v>0</v>
      </c>
      <c r="AC22" s="12"/>
      <c r="AD22" s="12">
        <f t="shared" si="0"/>
        <v>552920</v>
      </c>
    </row>
    <row r="23" spans="1:30" s="11" customFormat="1" ht="12">
      <c r="A23" s="11" t="s">
        <v>181</v>
      </c>
      <c r="C23" s="11" t="s">
        <v>104</v>
      </c>
      <c r="D23" s="11" t="s">
        <v>22</v>
      </c>
      <c r="F23" s="12">
        <v>0</v>
      </c>
      <c r="G23" s="12"/>
      <c r="H23" s="12">
        <v>513655.46</v>
      </c>
      <c r="I23" s="12"/>
      <c r="J23" s="12">
        <v>0</v>
      </c>
      <c r="K23" s="12"/>
      <c r="L23" s="12">
        <v>10159.72</v>
      </c>
      <c r="M23" s="12"/>
      <c r="N23" s="12">
        <v>0</v>
      </c>
      <c r="O23" s="12"/>
      <c r="P23" s="12">
        <v>0</v>
      </c>
      <c r="Q23" s="12"/>
      <c r="R23" s="12">
        <v>41015.09</v>
      </c>
      <c r="S23" s="12"/>
      <c r="T23" s="12">
        <v>2675.96</v>
      </c>
      <c r="U23" s="12"/>
      <c r="V23" s="12">
        <v>0</v>
      </c>
      <c r="W23" s="12"/>
      <c r="X23" s="12">
        <v>0</v>
      </c>
      <c r="Y23" s="12"/>
      <c r="Z23" s="12">
        <v>0</v>
      </c>
      <c r="AA23" s="12"/>
      <c r="AB23" s="12">
        <v>0</v>
      </c>
      <c r="AC23" s="12"/>
      <c r="AD23" s="12">
        <f t="shared" si="0"/>
        <v>567506.23</v>
      </c>
    </row>
    <row r="24" spans="1:30" s="11" customFormat="1" ht="12">
      <c r="A24" s="11" t="s">
        <v>182</v>
      </c>
      <c r="C24" s="11" t="s">
        <v>183</v>
      </c>
      <c r="D24" s="11" t="s">
        <v>23</v>
      </c>
      <c r="F24" s="12">
        <v>0</v>
      </c>
      <c r="G24" s="12"/>
      <c r="H24" s="12">
        <v>83847</v>
      </c>
      <c r="I24" s="12"/>
      <c r="J24" s="12">
        <v>0</v>
      </c>
      <c r="K24" s="12"/>
      <c r="L24" s="12">
        <v>2598</v>
      </c>
      <c r="M24" s="12"/>
      <c r="N24" s="12">
        <v>0</v>
      </c>
      <c r="O24" s="12"/>
      <c r="P24" s="12">
        <v>228</v>
      </c>
      <c r="Q24" s="12"/>
      <c r="R24" s="12">
        <v>4979</v>
      </c>
      <c r="S24" s="12"/>
      <c r="T24" s="12">
        <v>117</v>
      </c>
      <c r="U24" s="12"/>
      <c r="V24" s="12">
        <v>0</v>
      </c>
      <c r="W24" s="12"/>
      <c r="X24" s="12">
        <v>0</v>
      </c>
      <c r="Y24" s="12"/>
      <c r="Z24" s="12">
        <v>0</v>
      </c>
      <c r="AA24" s="12"/>
      <c r="AB24" s="12">
        <v>0</v>
      </c>
      <c r="AC24" s="12"/>
      <c r="AD24" s="12">
        <f t="shared" si="0"/>
        <v>91769</v>
      </c>
    </row>
    <row r="25" spans="1:30" s="11" customFormat="1" ht="12">
      <c r="A25" s="11" t="s">
        <v>184</v>
      </c>
      <c r="C25" s="11" t="s">
        <v>185</v>
      </c>
      <c r="D25" s="11" t="s">
        <v>15</v>
      </c>
      <c r="F25" s="12">
        <v>266214</v>
      </c>
      <c r="G25" s="12"/>
      <c r="H25" s="12">
        <v>0</v>
      </c>
      <c r="I25" s="12"/>
      <c r="J25" s="12">
        <v>695906</v>
      </c>
      <c r="K25" s="12"/>
      <c r="L25" s="12">
        <v>26294</v>
      </c>
      <c r="M25" s="12"/>
      <c r="N25" s="12">
        <v>0</v>
      </c>
      <c r="O25" s="12"/>
      <c r="P25" s="12">
        <v>82568</v>
      </c>
      <c r="Q25" s="12"/>
      <c r="R25" s="12">
        <v>31234</v>
      </c>
      <c r="S25" s="12"/>
      <c r="T25" s="12">
        <v>973</v>
      </c>
      <c r="U25" s="12"/>
      <c r="V25" s="12">
        <v>0</v>
      </c>
      <c r="W25" s="12"/>
      <c r="X25" s="12">
        <v>0</v>
      </c>
      <c r="Y25" s="12"/>
      <c r="Z25" s="12">
        <v>0</v>
      </c>
      <c r="AA25" s="12"/>
      <c r="AB25" s="12">
        <v>0</v>
      </c>
      <c r="AC25" s="12"/>
      <c r="AD25" s="12">
        <f t="shared" si="0"/>
        <v>1103189</v>
      </c>
    </row>
    <row r="26" spans="1:30" s="11" customFormat="1" ht="12">
      <c r="A26" s="11" t="s">
        <v>186</v>
      </c>
      <c r="C26" s="11" t="s">
        <v>138</v>
      </c>
      <c r="D26" s="11" t="s">
        <v>24</v>
      </c>
      <c r="F26" s="12">
        <v>5431</v>
      </c>
      <c r="G26" s="12"/>
      <c r="H26" s="12">
        <v>150610</v>
      </c>
      <c r="I26" s="12"/>
      <c r="J26" s="12">
        <v>0</v>
      </c>
      <c r="K26" s="12"/>
      <c r="L26" s="12">
        <v>4599</v>
      </c>
      <c r="M26" s="12"/>
      <c r="N26" s="12">
        <v>0</v>
      </c>
      <c r="O26" s="12"/>
      <c r="P26" s="12">
        <v>337</v>
      </c>
      <c r="Q26" s="12"/>
      <c r="R26" s="12">
        <v>6838</v>
      </c>
      <c r="S26" s="12"/>
      <c r="T26" s="12">
        <v>0</v>
      </c>
      <c r="U26" s="12"/>
      <c r="V26" s="12">
        <v>0</v>
      </c>
      <c r="W26" s="12"/>
      <c r="X26" s="12">
        <v>0</v>
      </c>
      <c r="Y26" s="12"/>
      <c r="Z26" s="12">
        <v>0</v>
      </c>
      <c r="AA26" s="12"/>
      <c r="AB26" s="12">
        <v>0</v>
      </c>
      <c r="AC26" s="12"/>
      <c r="AD26" s="12">
        <f t="shared" si="0"/>
        <v>167815</v>
      </c>
    </row>
    <row r="27" spans="1:30" s="11" customFormat="1" ht="12">
      <c r="A27" s="11" t="s">
        <v>449</v>
      </c>
      <c r="C27" s="11" t="s">
        <v>188</v>
      </c>
      <c r="D27" s="11" t="s">
        <v>25</v>
      </c>
      <c r="F27" s="12">
        <v>0</v>
      </c>
      <c r="G27" s="12"/>
      <c r="H27" s="12">
        <v>1886470</v>
      </c>
      <c r="I27" s="12"/>
      <c r="J27" s="12">
        <v>0</v>
      </c>
      <c r="K27" s="12"/>
      <c r="L27" s="12">
        <v>70885</v>
      </c>
      <c r="M27" s="12"/>
      <c r="N27" s="12">
        <v>0</v>
      </c>
      <c r="O27" s="12"/>
      <c r="P27" s="12">
        <v>12135</v>
      </c>
      <c r="Q27" s="12"/>
      <c r="R27" s="12">
        <v>15052</v>
      </c>
      <c r="S27" s="12"/>
      <c r="T27" s="12">
        <v>7010</v>
      </c>
      <c r="U27" s="12"/>
      <c r="V27" s="12">
        <v>0</v>
      </c>
      <c r="W27" s="12"/>
      <c r="X27" s="12">
        <v>0</v>
      </c>
      <c r="Y27" s="12"/>
      <c r="Z27" s="12">
        <v>0</v>
      </c>
      <c r="AA27" s="12"/>
      <c r="AB27" s="12">
        <v>0</v>
      </c>
      <c r="AC27" s="12"/>
      <c r="AD27" s="12">
        <f t="shared" si="0"/>
        <v>1991552</v>
      </c>
    </row>
    <row r="28" spans="1:30" s="11" customFormat="1" ht="12">
      <c r="A28" s="11" t="s">
        <v>189</v>
      </c>
      <c r="C28" s="11" t="s">
        <v>190</v>
      </c>
      <c r="D28" s="11" t="s">
        <v>26</v>
      </c>
      <c r="F28" s="12">
        <v>0</v>
      </c>
      <c r="G28" s="12"/>
      <c r="H28" s="12">
        <v>0</v>
      </c>
      <c r="I28" s="12"/>
      <c r="J28" s="12">
        <v>1747443</v>
      </c>
      <c r="K28" s="12"/>
      <c r="L28" s="12">
        <v>35679</v>
      </c>
      <c r="M28" s="12"/>
      <c r="N28" s="12">
        <v>0</v>
      </c>
      <c r="O28" s="12"/>
      <c r="P28" s="12">
        <v>7267</v>
      </c>
      <c r="Q28" s="12"/>
      <c r="R28" s="12">
        <v>47624</v>
      </c>
      <c r="S28" s="12"/>
      <c r="T28" s="12">
        <v>10919</v>
      </c>
      <c r="U28" s="12"/>
      <c r="V28" s="12">
        <v>0</v>
      </c>
      <c r="W28" s="12"/>
      <c r="X28" s="12">
        <v>0</v>
      </c>
      <c r="Y28" s="12"/>
      <c r="Z28" s="12">
        <v>0</v>
      </c>
      <c r="AA28" s="12"/>
      <c r="AB28" s="12">
        <v>0</v>
      </c>
      <c r="AC28" s="12"/>
      <c r="AD28" s="12">
        <f t="shared" si="0"/>
        <v>1848932</v>
      </c>
    </row>
    <row r="29" spans="1:30" s="11" customFormat="1" ht="12">
      <c r="A29" s="11" t="s">
        <v>191</v>
      </c>
      <c r="C29" s="11" t="s">
        <v>162</v>
      </c>
      <c r="D29" s="11" t="s">
        <v>27</v>
      </c>
      <c r="F29" s="12">
        <v>0</v>
      </c>
      <c r="G29" s="12"/>
      <c r="H29" s="12">
        <v>498683</v>
      </c>
      <c r="I29" s="12"/>
      <c r="J29" s="12">
        <v>0</v>
      </c>
      <c r="K29" s="12"/>
      <c r="L29" s="12">
        <v>10637</v>
      </c>
      <c r="M29" s="12"/>
      <c r="N29" s="12">
        <v>0</v>
      </c>
      <c r="O29" s="12"/>
      <c r="P29" s="12">
        <v>2934</v>
      </c>
      <c r="Q29" s="12"/>
      <c r="R29" s="12">
        <v>1709</v>
      </c>
      <c r="S29" s="12"/>
      <c r="T29" s="12">
        <v>866</v>
      </c>
      <c r="U29" s="12"/>
      <c r="V29" s="12">
        <v>0</v>
      </c>
      <c r="W29" s="12"/>
      <c r="X29" s="12">
        <v>0</v>
      </c>
      <c r="Y29" s="12"/>
      <c r="Z29" s="12">
        <v>0</v>
      </c>
      <c r="AA29" s="12"/>
      <c r="AB29" s="12">
        <v>0</v>
      </c>
      <c r="AC29" s="12"/>
      <c r="AD29" s="12">
        <f t="shared" si="0"/>
        <v>514829</v>
      </c>
    </row>
    <row r="30" spans="1:30" s="11" customFormat="1" ht="12">
      <c r="A30" s="11" t="s">
        <v>192</v>
      </c>
      <c r="C30" s="11" t="s">
        <v>138</v>
      </c>
      <c r="D30" s="11" t="s">
        <v>24</v>
      </c>
      <c r="F30" s="12">
        <v>0</v>
      </c>
      <c r="G30" s="12"/>
      <c r="H30" s="12">
        <v>0</v>
      </c>
      <c r="I30" s="12"/>
      <c r="J30" s="12">
        <v>157710.32</v>
      </c>
      <c r="K30" s="12"/>
      <c r="L30" s="12">
        <v>2741.82</v>
      </c>
      <c r="M30" s="12"/>
      <c r="N30" s="12">
        <v>0</v>
      </c>
      <c r="O30" s="12"/>
      <c r="P30" s="12">
        <v>1612</v>
      </c>
      <c r="Q30" s="12"/>
      <c r="R30" s="12">
        <v>1325.31</v>
      </c>
      <c r="S30" s="12"/>
      <c r="T30" s="12">
        <v>222.05</v>
      </c>
      <c r="U30" s="12"/>
      <c r="V30" s="12">
        <v>0</v>
      </c>
      <c r="W30" s="12"/>
      <c r="X30" s="12">
        <v>0</v>
      </c>
      <c r="Y30" s="12"/>
      <c r="Z30" s="12">
        <v>0</v>
      </c>
      <c r="AA30" s="12"/>
      <c r="AB30" s="12">
        <v>0</v>
      </c>
      <c r="AC30" s="12"/>
      <c r="AD30" s="12">
        <f t="shared" si="0"/>
        <v>163611.5</v>
      </c>
    </row>
    <row r="31" spans="1:30" s="11" customFormat="1" ht="12">
      <c r="A31" s="11" t="s">
        <v>450</v>
      </c>
      <c r="C31" s="11" t="s">
        <v>194</v>
      </c>
      <c r="D31" s="11" t="s">
        <v>59</v>
      </c>
      <c r="F31" s="12">
        <v>0</v>
      </c>
      <c r="G31" s="12"/>
      <c r="H31" s="12">
        <v>282448.78</v>
      </c>
      <c r="I31" s="12"/>
      <c r="J31" s="12">
        <v>7761.24</v>
      </c>
      <c r="K31" s="12"/>
      <c r="L31" s="12">
        <v>7045.11</v>
      </c>
      <c r="M31" s="12"/>
      <c r="N31" s="12">
        <v>0</v>
      </c>
      <c r="O31" s="12"/>
      <c r="P31" s="12">
        <v>865</v>
      </c>
      <c r="Q31" s="12"/>
      <c r="R31" s="12">
        <v>6773.29</v>
      </c>
      <c r="S31" s="12"/>
      <c r="T31" s="12">
        <v>8313.12</v>
      </c>
      <c r="U31" s="12"/>
      <c r="V31" s="12">
        <v>140</v>
      </c>
      <c r="W31" s="12"/>
      <c r="X31" s="12">
        <v>0</v>
      </c>
      <c r="Y31" s="12"/>
      <c r="Z31" s="12">
        <v>0</v>
      </c>
      <c r="AA31" s="12"/>
      <c r="AB31" s="12">
        <v>0</v>
      </c>
      <c r="AC31" s="12"/>
      <c r="AD31" s="12">
        <f t="shared" si="0"/>
        <v>313346.54</v>
      </c>
    </row>
    <row r="32" spans="1:30" s="11" customFormat="1" ht="12">
      <c r="A32" s="11" t="s">
        <v>195</v>
      </c>
      <c r="C32" s="11" t="s">
        <v>139</v>
      </c>
      <c r="D32" s="11" t="s">
        <v>89</v>
      </c>
      <c r="F32" s="12">
        <v>0</v>
      </c>
      <c r="G32" s="12"/>
      <c r="H32" s="12">
        <v>229043.64</v>
      </c>
      <c r="I32" s="12"/>
      <c r="J32" s="12">
        <v>0</v>
      </c>
      <c r="K32" s="12"/>
      <c r="L32" s="12">
        <v>4048.63</v>
      </c>
      <c r="M32" s="12"/>
      <c r="N32" s="12">
        <v>0</v>
      </c>
      <c r="O32" s="12"/>
      <c r="P32" s="12">
        <v>1060</v>
      </c>
      <c r="Q32" s="12"/>
      <c r="R32" s="12">
        <v>13559.75</v>
      </c>
      <c r="S32" s="12"/>
      <c r="T32" s="12">
        <v>454.79</v>
      </c>
      <c r="U32" s="12"/>
      <c r="V32" s="12">
        <v>0</v>
      </c>
      <c r="W32" s="12"/>
      <c r="X32" s="12">
        <v>0</v>
      </c>
      <c r="Y32" s="12"/>
      <c r="Z32" s="12">
        <v>0</v>
      </c>
      <c r="AA32" s="12"/>
      <c r="AB32" s="12">
        <v>0</v>
      </c>
      <c r="AC32" s="12"/>
      <c r="AD32" s="12">
        <f t="shared" si="0"/>
        <v>248166.81000000003</v>
      </c>
    </row>
    <row r="33" spans="1:30" s="11" customFormat="1" ht="12">
      <c r="A33" s="11" t="s">
        <v>196</v>
      </c>
      <c r="C33" s="11" t="s">
        <v>146</v>
      </c>
      <c r="D33" s="11" t="s">
        <v>82</v>
      </c>
      <c r="F33" s="12">
        <v>0</v>
      </c>
      <c r="G33" s="12"/>
      <c r="H33" s="12">
        <v>204602.86</v>
      </c>
      <c r="I33" s="12"/>
      <c r="J33" s="12">
        <v>0</v>
      </c>
      <c r="K33" s="12"/>
      <c r="L33" s="12">
        <v>8634.73</v>
      </c>
      <c r="M33" s="12"/>
      <c r="N33" s="12">
        <v>0</v>
      </c>
      <c r="O33" s="12"/>
      <c r="P33" s="12">
        <v>2325</v>
      </c>
      <c r="Q33" s="12"/>
      <c r="R33" s="12">
        <v>4309.34</v>
      </c>
      <c r="S33" s="12"/>
      <c r="T33" s="12">
        <v>926.57</v>
      </c>
      <c r="U33" s="12"/>
      <c r="V33" s="12">
        <v>453.6</v>
      </c>
      <c r="W33" s="12"/>
      <c r="X33" s="12">
        <v>0</v>
      </c>
      <c r="Y33" s="12"/>
      <c r="Z33" s="12">
        <v>0</v>
      </c>
      <c r="AA33" s="12"/>
      <c r="AB33" s="12">
        <v>0</v>
      </c>
      <c r="AC33" s="12"/>
      <c r="AD33" s="12">
        <f t="shared" si="0"/>
        <v>221252.1</v>
      </c>
    </row>
    <row r="34" spans="1:30" s="11" customFormat="1" ht="12">
      <c r="A34" s="11" t="s">
        <v>451</v>
      </c>
      <c r="C34" s="11" t="s">
        <v>198</v>
      </c>
      <c r="D34" s="11" t="s">
        <v>28</v>
      </c>
      <c r="F34" s="12">
        <v>0</v>
      </c>
      <c r="G34" s="12"/>
      <c r="H34" s="12">
        <v>2337814</v>
      </c>
      <c r="I34" s="12"/>
      <c r="J34" s="12">
        <v>0</v>
      </c>
      <c r="K34" s="12"/>
      <c r="L34" s="12">
        <v>55425</v>
      </c>
      <c r="M34" s="12"/>
      <c r="N34" s="12">
        <v>0</v>
      </c>
      <c r="O34" s="12"/>
      <c r="P34" s="12">
        <v>1665</v>
      </c>
      <c r="Q34" s="12"/>
      <c r="R34" s="12">
        <v>11174</v>
      </c>
      <c r="S34" s="12"/>
      <c r="T34" s="12">
        <v>7115</v>
      </c>
      <c r="U34" s="12"/>
      <c r="V34" s="12">
        <v>0</v>
      </c>
      <c r="W34" s="12"/>
      <c r="X34" s="12">
        <v>0</v>
      </c>
      <c r="Y34" s="12"/>
      <c r="Z34" s="12">
        <v>0</v>
      </c>
      <c r="AA34" s="12"/>
      <c r="AB34" s="12">
        <v>0</v>
      </c>
      <c r="AC34" s="12"/>
      <c r="AD34" s="12">
        <f t="shared" si="0"/>
        <v>2413193</v>
      </c>
    </row>
    <row r="35" spans="1:30" s="11" customFormat="1" ht="12">
      <c r="A35" s="11" t="s">
        <v>199</v>
      </c>
      <c r="C35" s="11" t="s">
        <v>149</v>
      </c>
      <c r="D35" s="11" t="s">
        <v>29</v>
      </c>
      <c r="F35" s="12">
        <v>0</v>
      </c>
      <c r="G35" s="12"/>
      <c r="H35" s="12">
        <v>494449</v>
      </c>
      <c r="I35" s="12"/>
      <c r="J35" s="12">
        <v>0</v>
      </c>
      <c r="K35" s="12"/>
      <c r="L35" s="12">
        <v>12456</v>
      </c>
      <c r="M35" s="12"/>
      <c r="N35" s="12">
        <v>3750</v>
      </c>
      <c r="O35" s="12"/>
      <c r="P35" s="12">
        <v>440</v>
      </c>
      <c r="Q35" s="12"/>
      <c r="R35" s="12">
        <v>5768</v>
      </c>
      <c r="S35" s="12"/>
      <c r="T35" s="12">
        <v>393</v>
      </c>
      <c r="U35" s="12"/>
      <c r="V35" s="12">
        <v>0</v>
      </c>
      <c r="W35" s="12"/>
      <c r="X35" s="12">
        <v>0</v>
      </c>
      <c r="Y35" s="12"/>
      <c r="Z35" s="12">
        <v>0</v>
      </c>
      <c r="AA35" s="12"/>
      <c r="AB35" s="12">
        <v>0</v>
      </c>
      <c r="AC35" s="12"/>
      <c r="AD35" s="12">
        <f t="shared" si="0"/>
        <v>517256</v>
      </c>
    </row>
    <row r="36" spans="1:30" s="11" customFormat="1" ht="12">
      <c r="A36" s="11" t="s">
        <v>125</v>
      </c>
      <c r="C36" s="11" t="s">
        <v>140</v>
      </c>
      <c r="D36" s="11" t="s">
        <v>83</v>
      </c>
      <c r="F36" s="12">
        <v>0</v>
      </c>
      <c r="G36" s="12"/>
      <c r="H36" s="12">
        <v>867396.83</v>
      </c>
      <c r="I36" s="12"/>
      <c r="J36" s="12">
        <v>0</v>
      </c>
      <c r="K36" s="12"/>
      <c r="L36" s="12">
        <v>35931.65</v>
      </c>
      <c r="M36" s="12"/>
      <c r="N36" s="12">
        <v>0</v>
      </c>
      <c r="O36" s="12"/>
      <c r="P36" s="12">
        <v>1929.77</v>
      </c>
      <c r="Q36" s="12"/>
      <c r="R36" s="12">
        <v>7787.29</v>
      </c>
      <c r="S36" s="12"/>
      <c r="T36" s="12">
        <v>4879.47</v>
      </c>
      <c r="U36" s="12"/>
      <c r="V36" s="12">
        <v>637</v>
      </c>
      <c r="W36" s="12"/>
      <c r="X36" s="12">
        <v>0</v>
      </c>
      <c r="Y36" s="12"/>
      <c r="Z36" s="12">
        <v>0</v>
      </c>
      <c r="AA36" s="12"/>
      <c r="AB36" s="12">
        <v>0</v>
      </c>
      <c r="AC36" s="12"/>
      <c r="AD36" s="12">
        <f t="shared" si="0"/>
        <v>918562.01</v>
      </c>
    </row>
    <row r="37" spans="1:30" s="11" customFormat="1" ht="12">
      <c r="A37" s="11" t="s">
        <v>200</v>
      </c>
      <c r="C37" s="11" t="s">
        <v>201</v>
      </c>
      <c r="D37" s="11" t="s">
        <v>30</v>
      </c>
      <c r="F37" s="12">
        <v>0</v>
      </c>
      <c r="G37" s="12"/>
      <c r="H37" s="12">
        <v>122462</v>
      </c>
      <c r="I37" s="12"/>
      <c r="J37" s="12">
        <v>0</v>
      </c>
      <c r="K37" s="12"/>
      <c r="L37" s="12">
        <v>5692</v>
      </c>
      <c r="M37" s="12"/>
      <c r="N37" s="12">
        <v>0</v>
      </c>
      <c r="O37" s="12"/>
      <c r="P37" s="12">
        <v>4677</v>
      </c>
      <c r="Q37" s="12"/>
      <c r="R37" s="12">
        <v>8753</v>
      </c>
      <c r="S37" s="12"/>
      <c r="T37" s="12">
        <v>134</v>
      </c>
      <c r="U37" s="12"/>
      <c r="V37" s="12">
        <v>0</v>
      </c>
      <c r="W37" s="12"/>
      <c r="X37" s="12">
        <v>0</v>
      </c>
      <c r="Y37" s="12"/>
      <c r="Z37" s="12">
        <v>0</v>
      </c>
      <c r="AA37" s="12"/>
      <c r="AB37" s="12">
        <v>0</v>
      </c>
      <c r="AC37" s="12"/>
      <c r="AD37" s="12">
        <f t="shared" si="0"/>
        <v>141718</v>
      </c>
    </row>
    <row r="38" spans="1:30" s="11" customFormat="1" ht="12">
      <c r="A38" s="11" t="s">
        <v>202</v>
      </c>
      <c r="C38" s="11" t="s">
        <v>145</v>
      </c>
      <c r="D38" s="11" t="s">
        <v>31</v>
      </c>
      <c r="F38" s="12">
        <v>639806</v>
      </c>
      <c r="G38" s="12"/>
      <c r="H38" s="12">
        <v>0</v>
      </c>
      <c r="I38" s="12"/>
      <c r="J38" s="12">
        <v>0</v>
      </c>
      <c r="K38" s="12"/>
      <c r="L38" s="12">
        <v>9186</v>
      </c>
      <c r="M38" s="12"/>
      <c r="N38" s="12">
        <v>0</v>
      </c>
      <c r="O38" s="12"/>
      <c r="P38" s="12">
        <f>24771+6548</f>
        <v>31319</v>
      </c>
      <c r="Q38" s="12"/>
      <c r="R38" s="12">
        <v>25406</v>
      </c>
      <c r="S38" s="12"/>
      <c r="T38" s="12">
        <f>4410+1784+1811</f>
        <v>8005</v>
      </c>
      <c r="U38" s="12"/>
      <c r="V38" s="12">
        <v>0</v>
      </c>
      <c r="W38" s="12"/>
      <c r="X38" s="12">
        <v>0</v>
      </c>
      <c r="Y38" s="12"/>
      <c r="Z38" s="12">
        <v>0</v>
      </c>
      <c r="AA38" s="12"/>
      <c r="AB38" s="12">
        <v>0</v>
      </c>
      <c r="AC38" s="12"/>
      <c r="AD38" s="12">
        <f t="shared" si="0"/>
        <v>713722</v>
      </c>
    </row>
    <row r="39" spans="1:30" s="11" customFormat="1" ht="12">
      <c r="A39" s="11" t="s">
        <v>203</v>
      </c>
      <c r="C39" s="11" t="s">
        <v>108</v>
      </c>
      <c r="D39" s="11" t="s">
        <v>50</v>
      </c>
      <c r="F39" s="12">
        <v>0</v>
      </c>
      <c r="G39" s="12"/>
      <c r="H39" s="12">
        <v>548890</v>
      </c>
      <c r="I39" s="12"/>
      <c r="J39" s="12">
        <v>28170.9</v>
      </c>
      <c r="K39" s="12"/>
      <c r="L39" s="12">
        <v>24518.29</v>
      </c>
      <c r="M39" s="12"/>
      <c r="N39" s="12">
        <v>0</v>
      </c>
      <c r="O39" s="12"/>
      <c r="P39" s="12">
        <v>23134.14</v>
      </c>
      <c r="Q39" s="12"/>
      <c r="R39" s="12">
        <v>4211.88</v>
      </c>
      <c r="S39" s="12"/>
      <c r="T39" s="12">
        <v>1272.47</v>
      </c>
      <c r="U39" s="12"/>
      <c r="V39" s="12">
        <v>90</v>
      </c>
      <c r="W39" s="12"/>
      <c r="X39" s="12">
        <v>0</v>
      </c>
      <c r="Y39" s="12"/>
      <c r="Z39" s="12">
        <v>0</v>
      </c>
      <c r="AA39" s="12"/>
      <c r="AB39" s="12">
        <v>0</v>
      </c>
      <c r="AC39" s="12"/>
      <c r="AD39" s="12">
        <f t="shared" si="0"/>
        <v>630287.68</v>
      </c>
    </row>
    <row r="40" spans="1:30" s="11" customFormat="1" ht="12">
      <c r="A40" s="11" t="s">
        <v>204</v>
      </c>
      <c r="C40" s="11" t="s">
        <v>205</v>
      </c>
      <c r="D40" s="11" t="s">
        <v>79</v>
      </c>
      <c r="F40" s="12">
        <v>0</v>
      </c>
      <c r="G40" s="12"/>
      <c r="H40" s="12">
        <v>459882.36</v>
      </c>
      <c r="I40" s="12"/>
      <c r="J40" s="12">
        <v>0</v>
      </c>
      <c r="K40" s="12"/>
      <c r="L40" s="12">
        <v>12574.61</v>
      </c>
      <c r="M40" s="12"/>
      <c r="N40" s="12">
        <v>0</v>
      </c>
      <c r="O40" s="12"/>
      <c r="P40" s="12">
        <v>2692.32</v>
      </c>
      <c r="Q40" s="12"/>
      <c r="R40" s="12">
        <v>14073.91</v>
      </c>
      <c r="S40" s="12"/>
      <c r="T40" s="12">
        <v>3342.22</v>
      </c>
      <c r="U40" s="12"/>
      <c r="V40" s="12">
        <v>0</v>
      </c>
      <c r="W40" s="12"/>
      <c r="X40" s="12">
        <v>0</v>
      </c>
      <c r="Y40" s="12"/>
      <c r="Z40" s="12">
        <v>0</v>
      </c>
      <c r="AA40" s="12"/>
      <c r="AB40" s="12">
        <v>0</v>
      </c>
      <c r="AC40" s="12"/>
      <c r="AD40" s="12">
        <f t="shared" si="0"/>
        <v>492565.4199999999</v>
      </c>
    </row>
    <row r="41" spans="1:30" s="11" customFormat="1" ht="12">
      <c r="A41" s="11" t="s">
        <v>206</v>
      </c>
      <c r="C41" s="11" t="s">
        <v>116</v>
      </c>
      <c r="D41" s="11" t="s">
        <v>65</v>
      </c>
      <c r="F41" s="12">
        <v>0</v>
      </c>
      <c r="G41" s="12"/>
      <c r="H41" s="12">
        <v>617950.95</v>
      </c>
      <c r="I41" s="12"/>
      <c r="J41" s="12">
        <v>4610</v>
      </c>
      <c r="K41" s="12"/>
      <c r="L41" s="12">
        <v>19864.6</v>
      </c>
      <c r="M41" s="12"/>
      <c r="N41" s="12">
        <v>0</v>
      </c>
      <c r="O41" s="12"/>
      <c r="P41" s="12">
        <v>805</v>
      </c>
      <c r="Q41" s="12"/>
      <c r="R41" s="12">
        <v>7716.56</v>
      </c>
      <c r="S41" s="12"/>
      <c r="T41" s="12">
        <v>1197.64</v>
      </c>
      <c r="U41" s="12"/>
      <c r="V41" s="12">
        <v>0</v>
      </c>
      <c r="W41" s="12"/>
      <c r="X41" s="12">
        <v>0</v>
      </c>
      <c r="Y41" s="12"/>
      <c r="Z41" s="12">
        <v>0</v>
      </c>
      <c r="AA41" s="12"/>
      <c r="AB41" s="12">
        <v>20</v>
      </c>
      <c r="AC41" s="12"/>
      <c r="AD41" s="12">
        <f t="shared" si="0"/>
        <v>652164.75</v>
      </c>
    </row>
    <row r="42" spans="1:30" s="11" customFormat="1" ht="12">
      <c r="A42" s="11" t="s">
        <v>207</v>
      </c>
      <c r="C42" s="11" t="s">
        <v>161</v>
      </c>
      <c r="D42" s="11" t="s">
        <v>32</v>
      </c>
      <c r="F42" s="12">
        <v>0</v>
      </c>
      <c r="G42" s="12"/>
      <c r="H42" s="12">
        <v>260969</v>
      </c>
      <c r="I42" s="12"/>
      <c r="J42" s="12">
        <v>0</v>
      </c>
      <c r="K42" s="12"/>
      <c r="L42" s="12">
        <v>8033</v>
      </c>
      <c r="M42" s="12"/>
      <c r="N42" s="12">
        <v>0</v>
      </c>
      <c r="O42" s="12"/>
      <c r="P42" s="12">
        <v>375</v>
      </c>
      <c r="Q42" s="12"/>
      <c r="R42" s="12">
        <v>4609</v>
      </c>
      <c r="S42" s="12"/>
      <c r="T42" s="12">
        <v>3518</v>
      </c>
      <c r="U42" s="12"/>
      <c r="V42" s="12">
        <v>537</v>
      </c>
      <c r="W42" s="12"/>
      <c r="X42" s="12">
        <v>0</v>
      </c>
      <c r="Y42" s="12"/>
      <c r="Z42" s="12">
        <v>0</v>
      </c>
      <c r="AA42" s="12"/>
      <c r="AB42" s="12">
        <v>0</v>
      </c>
      <c r="AC42" s="12"/>
      <c r="AD42" s="12">
        <f t="shared" si="0"/>
        <v>278041</v>
      </c>
    </row>
    <row r="43" spans="1:30" s="11" customFormat="1" ht="12">
      <c r="A43" s="11" t="s">
        <v>208</v>
      </c>
      <c r="C43" s="11" t="s">
        <v>144</v>
      </c>
      <c r="D43" s="11" t="s">
        <v>34</v>
      </c>
      <c r="F43" s="12">
        <v>0</v>
      </c>
      <c r="G43" s="12"/>
      <c r="H43" s="12">
        <v>785234</v>
      </c>
      <c r="I43" s="12"/>
      <c r="J43" s="12">
        <v>0</v>
      </c>
      <c r="K43" s="12"/>
      <c r="L43" s="12">
        <v>7684</v>
      </c>
      <c r="M43" s="12"/>
      <c r="N43" s="12">
        <v>0</v>
      </c>
      <c r="O43" s="12"/>
      <c r="P43" s="12">
        <v>1893</v>
      </c>
      <c r="Q43" s="12"/>
      <c r="R43" s="12">
        <v>13405</v>
      </c>
      <c r="S43" s="12"/>
      <c r="T43" s="12">
        <v>13743</v>
      </c>
      <c r="U43" s="12"/>
      <c r="V43" s="12">
        <v>0</v>
      </c>
      <c r="W43" s="12"/>
      <c r="X43" s="12">
        <v>0</v>
      </c>
      <c r="Y43" s="12"/>
      <c r="Z43" s="12">
        <v>0</v>
      </c>
      <c r="AA43" s="12"/>
      <c r="AB43" s="12">
        <v>0</v>
      </c>
      <c r="AC43" s="12"/>
      <c r="AD43" s="12">
        <f t="shared" si="0"/>
        <v>821959</v>
      </c>
    </row>
    <row r="44" spans="1:30" s="11" customFormat="1" ht="12">
      <c r="A44" s="11" t="s">
        <v>208</v>
      </c>
      <c r="C44" s="11" t="s">
        <v>209</v>
      </c>
      <c r="D44" s="11" t="s">
        <v>33</v>
      </c>
      <c r="F44" s="12">
        <v>0</v>
      </c>
      <c r="G44" s="12"/>
      <c r="H44" s="12">
        <v>1049951</v>
      </c>
      <c r="I44" s="12"/>
      <c r="J44" s="12">
        <v>0</v>
      </c>
      <c r="K44" s="12"/>
      <c r="L44" s="12">
        <v>22268</v>
      </c>
      <c r="M44" s="12"/>
      <c r="N44" s="12">
        <v>0</v>
      </c>
      <c r="O44" s="12"/>
      <c r="P44" s="12">
        <v>11116</v>
      </c>
      <c r="Q44" s="12"/>
      <c r="R44" s="12">
        <v>62621</v>
      </c>
      <c r="S44" s="12"/>
      <c r="T44" s="12">
        <v>2486</v>
      </c>
      <c r="U44" s="12"/>
      <c r="V44" s="12">
        <v>0</v>
      </c>
      <c r="W44" s="12"/>
      <c r="X44" s="12">
        <v>0</v>
      </c>
      <c r="Y44" s="12"/>
      <c r="Z44" s="12">
        <v>0</v>
      </c>
      <c r="AA44" s="12"/>
      <c r="AB44" s="12">
        <v>0</v>
      </c>
      <c r="AC44" s="12"/>
      <c r="AD44" s="12">
        <f t="shared" si="0"/>
        <v>1148442</v>
      </c>
    </row>
    <row r="45" spans="1:30" s="11" customFormat="1" ht="12">
      <c r="A45" s="11" t="s">
        <v>210</v>
      </c>
      <c r="C45" s="11" t="s">
        <v>141</v>
      </c>
      <c r="D45" s="11" t="s">
        <v>90</v>
      </c>
      <c r="F45" s="12">
        <v>0</v>
      </c>
      <c r="G45" s="12"/>
      <c r="H45" s="12">
        <v>725663.04</v>
      </c>
      <c r="I45" s="12"/>
      <c r="J45" s="12">
        <v>5604.98</v>
      </c>
      <c r="K45" s="12"/>
      <c r="L45" s="12">
        <v>27371.34</v>
      </c>
      <c r="M45" s="12"/>
      <c r="N45" s="12">
        <v>0</v>
      </c>
      <c r="O45" s="12"/>
      <c r="P45" s="12">
        <v>439</v>
      </c>
      <c r="Q45" s="12"/>
      <c r="R45" s="12">
        <v>37778.87</v>
      </c>
      <c r="S45" s="12"/>
      <c r="T45" s="12">
        <v>3043.47</v>
      </c>
      <c r="U45" s="12"/>
      <c r="V45" s="12">
        <v>0</v>
      </c>
      <c r="W45" s="12"/>
      <c r="X45" s="12">
        <v>0</v>
      </c>
      <c r="Y45" s="12"/>
      <c r="Z45" s="12">
        <v>12311.76</v>
      </c>
      <c r="AA45" s="12"/>
      <c r="AB45" s="12">
        <v>0</v>
      </c>
      <c r="AC45" s="12"/>
      <c r="AD45" s="12">
        <f t="shared" si="0"/>
        <v>812212.46</v>
      </c>
    </row>
    <row r="46" spans="1:30" s="11" customFormat="1" ht="12">
      <c r="A46" s="11" t="s">
        <v>211</v>
      </c>
      <c r="C46" s="11" t="s">
        <v>107</v>
      </c>
      <c r="D46" s="11" t="s">
        <v>35</v>
      </c>
      <c r="F46" s="12">
        <v>0</v>
      </c>
      <c r="G46" s="12"/>
      <c r="H46" s="12">
        <v>283691</v>
      </c>
      <c r="I46" s="12"/>
      <c r="J46" s="12">
        <v>0</v>
      </c>
      <c r="K46" s="12"/>
      <c r="L46" s="12">
        <v>6307</v>
      </c>
      <c r="M46" s="12"/>
      <c r="N46" s="12">
        <v>0</v>
      </c>
      <c r="O46" s="12"/>
      <c r="P46" s="12">
        <v>365</v>
      </c>
      <c r="Q46" s="12"/>
      <c r="R46" s="12">
        <v>40233</v>
      </c>
      <c r="S46" s="12"/>
      <c r="T46" s="12">
        <v>894</v>
      </c>
      <c r="U46" s="12"/>
      <c r="V46" s="12">
        <v>0</v>
      </c>
      <c r="W46" s="12"/>
      <c r="X46" s="12">
        <v>0</v>
      </c>
      <c r="Y46" s="12"/>
      <c r="Z46" s="12">
        <v>0</v>
      </c>
      <c r="AA46" s="12"/>
      <c r="AB46" s="12">
        <v>0</v>
      </c>
      <c r="AC46" s="12"/>
      <c r="AD46" s="12">
        <f t="shared" si="0"/>
        <v>331490</v>
      </c>
    </row>
    <row r="47" spans="1:30" s="11" customFormat="1" ht="12">
      <c r="A47" s="11" t="s">
        <v>452</v>
      </c>
      <c r="C47" s="11" t="s">
        <v>155</v>
      </c>
      <c r="D47" s="11" t="s">
        <v>36</v>
      </c>
      <c r="F47" s="12">
        <v>125086</v>
      </c>
      <c r="G47" s="12"/>
      <c r="H47" s="12">
        <v>731724</v>
      </c>
      <c r="I47" s="12"/>
      <c r="J47" s="12">
        <v>0</v>
      </c>
      <c r="K47" s="12"/>
      <c r="L47" s="12">
        <v>38604</v>
      </c>
      <c r="M47" s="12"/>
      <c r="N47" s="12">
        <v>0</v>
      </c>
      <c r="O47" s="12"/>
      <c r="P47" s="12">
        <v>11247</v>
      </c>
      <c r="Q47" s="12"/>
      <c r="R47" s="12">
        <v>3547</v>
      </c>
      <c r="S47" s="12"/>
      <c r="T47" s="12">
        <v>3186</v>
      </c>
      <c r="U47" s="12"/>
      <c r="V47" s="12">
        <v>0</v>
      </c>
      <c r="W47" s="12"/>
      <c r="X47" s="12">
        <v>0</v>
      </c>
      <c r="Y47" s="12"/>
      <c r="Z47" s="12">
        <v>0</v>
      </c>
      <c r="AA47" s="12"/>
      <c r="AB47" s="12">
        <v>0</v>
      </c>
      <c r="AC47" s="12"/>
      <c r="AD47" s="12">
        <f t="shared" si="0"/>
        <v>913394</v>
      </c>
    </row>
    <row r="48" spans="1:30" s="11" customFormat="1" ht="12">
      <c r="A48" s="11" t="s">
        <v>453</v>
      </c>
      <c r="C48" s="11" t="s">
        <v>142</v>
      </c>
      <c r="D48" s="11" t="s">
        <v>91</v>
      </c>
      <c r="F48" s="12">
        <v>0</v>
      </c>
      <c r="G48" s="12"/>
      <c r="H48" s="12">
        <v>2678639.67</v>
      </c>
      <c r="I48" s="12"/>
      <c r="J48" s="12">
        <v>6056</v>
      </c>
      <c r="K48" s="12"/>
      <c r="L48" s="12">
        <v>67701.57</v>
      </c>
      <c r="M48" s="12"/>
      <c r="N48" s="12">
        <v>0</v>
      </c>
      <c r="O48" s="12"/>
      <c r="P48" s="12">
        <v>3411</v>
      </c>
      <c r="Q48" s="12"/>
      <c r="R48" s="12">
        <v>42865.62</v>
      </c>
      <c r="S48" s="12"/>
      <c r="T48" s="12">
        <v>11620.04</v>
      </c>
      <c r="U48" s="12"/>
      <c r="V48" s="12">
        <v>0</v>
      </c>
      <c r="W48" s="12"/>
      <c r="X48" s="12">
        <v>0</v>
      </c>
      <c r="Y48" s="12"/>
      <c r="Z48" s="12">
        <v>0</v>
      </c>
      <c r="AA48" s="12"/>
      <c r="AB48" s="12">
        <v>0</v>
      </c>
      <c r="AC48" s="12"/>
      <c r="AD48" s="12">
        <f t="shared" si="0"/>
        <v>2810293.9</v>
      </c>
    </row>
    <row r="49" spans="1:30" s="11" customFormat="1" ht="12">
      <c r="A49" s="11" t="s">
        <v>214</v>
      </c>
      <c r="C49" s="11" t="s">
        <v>215</v>
      </c>
      <c r="D49" s="11" t="s">
        <v>14</v>
      </c>
      <c r="F49" s="12">
        <v>0</v>
      </c>
      <c r="G49" s="12"/>
      <c r="H49" s="12">
        <v>4914430</v>
      </c>
      <c r="I49" s="12"/>
      <c r="J49" s="12">
        <v>0</v>
      </c>
      <c r="K49" s="12"/>
      <c r="L49" s="12">
        <v>79923</v>
      </c>
      <c r="M49" s="12"/>
      <c r="N49" s="12">
        <v>2025</v>
      </c>
      <c r="O49" s="12"/>
      <c r="P49" s="12">
        <v>15798</v>
      </c>
      <c r="Q49" s="12"/>
      <c r="R49" s="12">
        <v>436724</v>
      </c>
      <c r="S49" s="12"/>
      <c r="T49" s="12">
        <v>51233</v>
      </c>
      <c r="U49" s="12"/>
      <c r="V49" s="12">
        <v>0</v>
      </c>
      <c r="W49" s="12"/>
      <c r="X49" s="12">
        <v>0</v>
      </c>
      <c r="Y49" s="12"/>
      <c r="Z49" s="12">
        <v>0</v>
      </c>
      <c r="AA49" s="12"/>
      <c r="AB49" s="12">
        <v>0</v>
      </c>
      <c r="AC49" s="12"/>
      <c r="AD49" s="12">
        <f t="shared" si="0"/>
        <v>5500133</v>
      </c>
    </row>
    <row r="50" spans="1:30" s="11" customFormat="1" ht="12">
      <c r="A50" s="11" t="s">
        <v>454</v>
      </c>
      <c r="C50" s="11" t="s">
        <v>117</v>
      </c>
      <c r="D50" s="11" t="s">
        <v>44</v>
      </c>
      <c r="F50" s="12">
        <v>0</v>
      </c>
      <c r="G50" s="12"/>
      <c r="H50" s="12">
        <v>453301.29</v>
      </c>
      <c r="I50" s="12"/>
      <c r="J50" s="12">
        <v>0</v>
      </c>
      <c r="K50" s="12"/>
      <c r="L50" s="12">
        <v>7143.65</v>
      </c>
      <c r="M50" s="12"/>
      <c r="N50" s="12">
        <v>0</v>
      </c>
      <c r="O50" s="12"/>
      <c r="P50" s="12">
        <v>3400.07</v>
      </c>
      <c r="Q50" s="12"/>
      <c r="R50" s="12">
        <v>12731.66</v>
      </c>
      <c r="S50" s="12"/>
      <c r="T50" s="12">
        <v>0</v>
      </c>
      <c r="U50" s="12"/>
      <c r="V50" s="12">
        <v>0</v>
      </c>
      <c r="W50" s="12"/>
      <c r="X50" s="12">
        <v>0</v>
      </c>
      <c r="Y50" s="12"/>
      <c r="Z50" s="12">
        <v>10000</v>
      </c>
      <c r="AA50" s="12"/>
      <c r="AB50" s="12">
        <v>0</v>
      </c>
      <c r="AC50" s="12"/>
      <c r="AD50" s="12">
        <f t="shared" si="0"/>
        <v>486576.67</v>
      </c>
    </row>
    <row r="51" spans="1:30" s="11" customFormat="1" ht="12">
      <c r="A51" s="11" t="s">
        <v>217</v>
      </c>
      <c r="C51" s="11" t="s">
        <v>218</v>
      </c>
      <c r="D51" s="11" t="s">
        <v>37</v>
      </c>
      <c r="F51" s="12">
        <v>1373344</v>
      </c>
      <c r="G51" s="12"/>
      <c r="H51" s="12">
        <v>0</v>
      </c>
      <c r="I51" s="12"/>
      <c r="J51" s="12">
        <v>5990898</v>
      </c>
      <c r="K51" s="12"/>
      <c r="L51" s="12">
        <v>379885</v>
      </c>
      <c r="M51" s="12"/>
      <c r="N51" s="12">
        <v>0</v>
      </c>
      <c r="O51" s="12"/>
      <c r="P51" s="12">
        <v>17458</v>
      </c>
      <c r="Q51" s="12"/>
      <c r="R51" s="12">
        <v>257753</v>
      </c>
      <c r="S51" s="12"/>
      <c r="T51" s="12">
        <v>46500</v>
      </c>
      <c r="U51" s="12"/>
      <c r="V51" s="12">
        <v>0</v>
      </c>
      <c r="W51" s="12"/>
      <c r="X51" s="12">
        <v>0</v>
      </c>
      <c r="Y51" s="12"/>
      <c r="Z51" s="12">
        <v>0</v>
      </c>
      <c r="AA51" s="12"/>
      <c r="AB51" s="12">
        <v>206850</v>
      </c>
      <c r="AC51" s="12"/>
      <c r="AD51" s="12">
        <f t="shared" si="0"/>
        <v>8272688</v>
      </c>
    </row>
    <row r="52" spans="1:30" s="11" customFormat="1" ht="12">
      <c r="A52" s="11" t="s">
        <v>596</v>
      </c>
      <c r="C52" s="11" t="s">
        <v>190</v>
      </c>
      <c r="D52" s="11" t="s">
        <v>26</v>
      </c>
      <c r="F52" s="12">
        <v>4137884</v>
      </c>
      <c r="G52" s="12"/>
      <c r="H52" s="12">
        <v>0</v>
      </c>
      <c r="I52" s="12"/>
      <c r="J52" s="12">
        <v>3671580</v>
      </c>
      <c r="K52" s="12"/>
      <c r="L52" s="12">
        <v>89844</v>
      </c>
      <c r="M52" s="12"/>
      <c r="N52" s="12">
        <v>0</v>
      </c>
      <c r="O52" s="12"/>
      <c r="P52" s="12">
        <v>3522</v>
      </c>
      <c r="Q52" s="12"/>
      <c r="R52" s="12">
        <v>170842</v>
      </c>
      <c r="S52" s="12"/>
      <c r="T52" s="12">
        <f>13674+3221</f>
        <v>16895</v>
      </c>
      <c r="U52" s="12"/>
      <c r="V52" s="12">
        <v>0</v>
      </c>
      <c r="W52" s="12"/>
      <c r="X52" s="12">
        <v>0</v>
      </c>
      <c r="Y52" s="12"/>
      <c r="Z52" s="12">
        <v>0</v>
      </c>
      <c r="AA52" s="12"/>
      <c r="AB52" s="12">
        <v>44567</v>
      </c>
      <c r="AC52" s="12"/>
      <c r="AD52" s="12">
        <f>SUM(F52:AB52)</f>
        <v>8135134</v>
      </c>
    </row>
    <row r="53" spans="1:30" s="11" customFormat="1" ht="12">
      <c r="A53" s="11" t="s">
        <v>597</v>
      </c>
      <c r="C53" s="11" t="s">
        <v>110</v>
      </c>
      <c r="D53" s="11" t="s">
        <v>26</v>
      </c>
      <c r="F53" s="12">
        <v>32224171</v>
      </c>
      <c r="G53" s="12"/>
      <c r="H53" s="12">
        <v>3018155</v>
      </c>
      <c r="I53" s="12"/>
      <c r="J53" s="12">
        <v>31533052</v>
      </c>
      <c r="K53" s="12"/>
      <c r="L53" s="12">
        <v>387874</v>
      </c>
      <c r="M53" s="12"/>
      <c r="N53" s="12">
        <v>0</v>
      </c>
      <c r="O53" s="12"/>
      <c r="P53" s="12">
        <v>0</v>
      </c>
      <c r="Q53" s="12"/>
      <c r="R53" s="12">
        <v>2090227</v>
      </c>
      <c r="S53" s="12"/>
      <c r="T53" s="12">
        <v>234573</v>
      </c>
      <c r="U53" s="12"/>
      <c r="V53" s="12">
        <v>426</v>
      </c>
      <c r="W53" s="12"/>
      <c r="X53" s="12">
        <v>0</v>
      </c>
      <c r="Y53" s="12"/>
      <c r="Z53" s="12">
        <v>0</v>
      </c>
      <c r="AA53" s="12"/>
      <c r="AB53" s="12">
        <v>0</v>
      </c>
      <c r="AC53" s="12"/>
      <c r="AD53" s="12">
        <f>SUM(F53:AB53)</f>
        <v>69488478</v>
      </c>
    </row>
    <row r="54" spans="1:30" s="11" customFormat="1" ht="12">
      <c r="A54" s="11" t="s">
        <v>219</v>
      </c>
      <c r="C54" s="11" t="s">
        <v>190</v>
      </c>
      <c r="D54" s="11" t="s">
        <v>26</v>
      </c>
      <c r="F54" s="12">
        <v>213085</v>
      </c>
      <c r="G54" s="12"/>
      <c r="H54" s="12">
        <v>352357</v>
      </c>
      <c r="I54" s="12"/>
      <c r="J54" s="12">
        <v>12734</v>
      </c>
      <c r="K54" s="12"/>
      <c r="L54" s="12">
        <v>16974</v>
      </c>
      <c r="M54" s="12"/>
      <c r="N54" s="12">
        <v>0</v>
      </c>
      <c r="O54" s="12"/>
      <c r="P54" s="12">
        <v>6220</v>
      </c>
      <c r="Q54" s="12"/>
      <c r="R54" s="12">
        <v>14044</v>
      </c>
      <c r="S54" s="12"/>
      <c r="T54" s="12">
        <v>532</v>
      </c>
      <c r="U54" s="12"/>
      <c r="V54" s="12">
        <v>0</v>
      </c>
      <c r="W54" s="12"/>
      <c r="X54" s="12">
        <v>3511</v>
      </c>
      <c r="Y54" s="12"/>
      <c r="Z54" s="12">
        <v>0</v>
      </c>
      <c r="AA54" s="12"/>
      <c r="AB54" s="12">
        <v>0</v>
      </c>
      <c r="AC54" s="12"/>
      <c r="AD54" s="12">
        <f t="shared" si="0"/>
        <v>619457</v>
      </c>
    </row>
    <row r="55" spans="1:30" s="11" customFormat="1" ht="12">
      <c r="A55" s="11" t="s">
        <v>165</v>
      </c>
      <c r="C55" s="11" t="s">
        <v>143</v>
      </c>
      <c r="D55" s="11" t="s">
        <v>49</v>
      </c>
      <c r="F55" s="12">
        <v>0</v>
      </c>
      <c r="G55" s="12"/>
      <c r="H55" s="12">
        <v>256790.26</v>
      </c>
      <c r="I55" s="12"/>
      <c r="J55" s="12">
        <v>0</v>
      </c>
      <c r="K55" s="12"/>
      <c r="L55" s="12">
        <v>8658.33</v>
      </c>
      <c r="M55" s="12"/>
      <c r="N55" s="12">
        <v>0</v>
      </c>
      <c r="O55" s="12"/>
      <c r="P55" s="12">
        <v>0</v>
      </c>
      <c r="Q55" s="12"/>
      <c r="R55" s="12">
        <v>2659.93</v>
      </c>
      <c r="S55" s="12"/>
      <c r="T55" s="12">
        <v>14.05</v>
      </c>
      <c r="U55" s="12"/>
      <c r="V55" s="12">
        <v>930.85</v>
      </c>
      <c r="W55" s="12"/>
      <c r="X55" s="12">
        <v>0</v>
      </c>
      <c r="Y55" s="12"/>
      <c r="Z55" s="12">
        <v>0</v>
      </c>
      <c r="AA55" s="12"/>
      <c r="AB55" s="12">
        <v>0</v>
      </c>
      <c r="AC55" s="12"/>
      <c r="AD55" s="12">
        <f t="shared" si="0"/>
        <v>269053.42</v>
      </c>
    </row>
    <row r="56" spans="1:30" s="11" customFormat="1" ht="12">
      <c r="A56" s="11" t="s">
        <v>220</v>
      </c>
      <c r="C56" s="11" t="s">
        <v>144</v>
      </c>
      <c r="D56" s="11" t="s">
        <v>34</v>
      </c>
      <c r="F56" s="12">
        <v>0</v>
      </c>
      <c r="G56" s="12"/>
      <c r="H56" s="12">
        <v>741576.4</v>
      </c>
      <c r="I56" s="12"/>
      <c r="J56" s="12">
        <v>0</v>
      </c>
      <c r="K56" s="12"/>
      <c r="L56" s="12">
        <v>33059.53</v>
      </c>
      <c r="M56" s="12"/>
      <c r="N56" s="12">
        <v>0</v>
      </c>
      <c r="O56" s="12"/>
      <c r="P56" s="12">
        <v>3265</v>
      </c>
      <c r="Q56" s="12"/>
      <c r="R56" s="12">
        <v>30268.28</v>
      </c>
      <c r="S56" s="12"/>
      <c r="T56" s="12">
        <v>3117.06</v>
      </c>
      <c r="U56" s="12"/>
      <c r="V56" s="12">
        <v>0</v>
      </c>
      <c r="W56" s="12"/>
      <c r="X56" s="12">
        <v>0</v>
      </c>
      <c r="Y56" s="12"/>
      <c r="Z56" s="12">
        <v>0</v>
      </c>
      <c r="AA56" s="12"/>
      <c r="AB56" s="12">
        <v>0</v>
      </c>
      <c r="AC56" s="12"/>
      <c r="AD56" s="12">
        <f t="shared" si="0"/>
        <v>811286.2700000001</v>
      </c>
    </row>
    <row r="57" spans="1:30" s="11" customFormat="1" ht="12">
      <c r="A57" s="11" t="s">
        <v>221</v>
      </c>
      <c r="C57" s="11" t="s">
        <v>188</v>
      </c>
      <c r="D57" s="11" t="s">
        <v>25</v>
      </c>
      <c r="F57" s="12">
        <v>20950497</v>
      </c>
      <c r="G57" s="12"/>
      <c r="H57" s="12">
        <v>24808052</v>
      </c>
      <c r="I57" s="12"/>
      <c r="J57" s="12">
        <v>0</v>
      </c>
      <c r="K57" s="12"/>
      <c r="L57" s="12">
        <v>1870412</v>
      </c>
      <c r="M57" s="12"/>
      <c r="N57" s="12">
        <v>687171</v>
      </c>
      <c r="O57" s="12"/>
      <c r="P57" s="12">
        <v>56314</v>
      </c>
      <c r="Q57" s="12"/>
      <c r="R57" s="12">
        <v>733803</v>
      </c>
      <c r="S57" s="12"/>
      <c r="T57" s="12">
        <v>301069</v>
      </c>
      <c r="U57" s="12"/>
      <c r="V57" s="12">
        <v>0</v>
      </c>
      <c r="W57" s="12"/>
      <c r="X57" s="12">
        <v>1345240</v>
      </c>
      <c r="Y57" s="12"/>
      <c r="Z57" s="12">
        <v>0</v>
      </c>
      <c r="AA57" s="12"/>
      <c r="AB57" s="12">
        <v>0</v>
      </c>
      <c r="AC57" s="12"/>
      <c r="AD57" s="12">
        <f t="shared" si="0"/>
        <v>50752558</v>
      </c>
    </row>
    <row r="58" spans="1:63" s="38" customFormat="1" ht="12">
      <c r="A58" s="11" t="s">
        <v>529</v>
      </c>
      <c r="B58" s="11"/>
      <c r="C58" s="12" t="s">
        <v>163</v>
      </c>
      <c r="D58" s="12"/>
      <c r="E58" s="11"/>
      <c r="F58" s="12">
        <v>0</v>
      </c>
      <c r="G58" s="12"/>
      <c r="H58" s="12">
        <v>634621.12</v>
      </c>
      <c r="I58" s="12"/>
      <c r="J58" s="12">
        <v>0</v>
      </c>
      <c r="K58" s="12"/>
      <c r="L58" s="12">
        <v>22212.89</v>
      </c>
      <c r="M58" s="12"/>
      <c r="N58" s="12">
        <v>0</v>
      </c>
      <c r="O58" s="12"/>
      <c r="P58" s="12">
        <v>4510.61</v>
      </c>
      <c r="Q58" s="12"/>
      <c r="R58" s="12">
        <v>6830.17</v>
      </c>
      <c r="S58" s="12"/>
      <c r="T58" s="12">
        <v>0</v>
      </c>
      <c r="U58" s="12"/>
      <c r="V58" s="12">
        <v>0</v>
      </c>
      <c r="W58" s="12"/>
      <c r="X58" s="12">
        <v>0</v>
      </c>
      <c r="Y58" s="12"/>
      <c r="Z58" s="12">
        <v>0</v>
      </c>
      <c r="AA58" s="12"/>
      <c r="AB58" s="12">
        <v>0</v>
      </c>
      <c r="AC58" s="11"/>
      <c r="AD58" s="12">
        <f t="shared" si="0"/>
        <v>668174.79</v>
      </c>
      <c r="AE58" s="36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</row>
    <row r="59" spans="1:30" s="11" customFormat="1" ht="12">
      <c r="A59" s="11" t="s">
        <v>222</v>
      </c>
      <c r="C59" s="11" t="s">
        <v>136</v>
      </c>
      <c r="D59" s="11" t="s">
        <v>20</v>
      </c>
      <c r="F59" s="12">
        <v>0</v>
      </c>
      <c r="G59" s="12"/>
      <c r="H59" s="12">
        <v>555511</v>
      </c>
      <c r="I59" s="12"/>
      <c r="J59" s="12">
        <v>0</v>
      </c>
      <c r="K59" s="12"/>
      <c r="L59" s="12">
        <v>6762</v>
      </c>
      <c r="M59" s="12"/>
      <c r="N59" s="12">
        <v>420</v>
      </c>
      <c r="O59" s="12"/>
      <c r="P59" s="12">
        <v>3028</v>
      </c>
      <c r="Q59" s="12"/>
      <c r="R59" s="12">
        <v>24225</v>
      </c>
      <c r="S59" s="12"/>
      <c r="T59" s="12">
        <v>14037</v>
      </c>
      <c r="U59" s="12"/>
      <c r="V59" s="12">
        <v>0</v>
      </c>
      <c r="W59" s="12"/>
      <c r="X59" s="12">
        <v>0</v>
      </c>
      <c r="Y59" s="12"/>
      <c r="Z59" s="12">
        <v>0</v>
      </c>
      <c r="AA59" s="12"/>
      <c r="AB59" s="12">
        <v>0</v>
      </c>
      <c r="AC59" s="12"/>
      <c r="AD59" s="12">
        <f t="shared" si="0"/>
        <v>603983</v>
      </c>
    </row>
    <row r="60" spans="1:30" s="11" customFormat="1" ht="12">
      <c r="A60" s="11" t="s">
        <v>223</v>
      </c>
      <c r="C60" s="11" t="s">
        <v>224</v>
      </c>
      <c r="D60" s="11" t="s">
        <v>38</v>
      </c>
      <c r="F60" s="12">
        <v>0</v>
      </c>
      <c r="G60" s="12"/>
      <c r="H60" s="12">
        <v>1382578</v>
      </c>
      <c r="I60" s="12"/>
      <c r="J60" s="12">
        <v>0</v>
      </c>
      <c r="K60" s="12"/>
      <c r="L60" s="12">
        <v>42214</v>
      </c>
      <c r="M60" s="12"/>
      <c r="N60" s="12">
        <v>0</v>
      </c>
      <c r="O60" s="12"/>
      <c r="P60" s="12">
        <v>3294</v>
      </c>
      <c r="Q60" s="12"/>
      <c r="R60" s="12">
        <v>55448</v>
      </c>
      <c r="S60" s="12"/>
      <c r="T60" s="12">
        <v>4447</v>
      </c>
      <c r="U60" s="12"/>
      <c r="V60" s="12">
        <v>0</v>
      </c>
      <c r="W60" s="12"/>
      <c r="X60" s="12">
        <v>0</v>
      </c>
      <c r="Y60" s="12"/>
      <c r="Z60" s="12">
        <v>0</v>
      </c>
      <c r="AA60" s="12"/>
      <c r="AB60" s="12">
        <v>0</v>
      </c>
      <c r="AC60" s="12"/>
      <c r="AD60" s="12">
        <f t="shared" si="0"/>
        <v>1487981</v>
      </c>
    </row>
    <row r="61" spans="1:30" s="11" customFormat="1" ht="12">
      <c r="A61" s="11" t="s">
        <v>225</v>
      </c>
      <c r="C61" s="11" t="s">
        <v>145</v>
      </c>
      <c r="D61" s="11" t="s">
        <v>31</v>
      </c>
      <c r="F61" s="12">
        <v>0</v>
      </c>
      <c r="G61" s="12"/>
      <c r="H61" s="12">
        <v>530124</v>
      </c>
      <c r="I61" s="12"/>
      <c r="J61" s="12">
        <v>0</v>
      </c>
      <c r="K61" s="12"/>
      <c r="L61" s="12">
        <v>13215.21</v>
      </c>
      <c r="M61" s="12"/>
      <c r="N61" s="12">
        <v>0</v>
      </c>
      <c r="O61" s="12"/>
      <c r="P61" s="12">
        <v>908.95</v>
      </c>
      <c r="Q61" s="12"/>
      <c r="R61" s="12">
        <v>108354.4</v>
      </c>
      <c r="S61" s="12"/>
      <c r="T61" s="12">
        <v>1159.88</v>
      </c>
      <c r="U61" s="12"/>
      <c r="V61" s="12">
        <v>0</v>
      </c>
      <c r="W61" s="12"/>
      <c r="X61" s="12">
        <v>0</v>
      </c>
      <c r="Y61" s="12"/>
      <c r="Z61" s="12">
        <v>0</v>
      </c>
      <c r="AA61" s="12"/>
      <c r="AB61" s="12">
        <v>0</v>
      </c>
      <c r="AC61" s="12"/>
      <c r="AD61" s="12">
        <f t="shared" si="0"/>
        <v>653762.44</v>
      </c>
    </row>
    <row r="62" spans="1:30" s="11" customFormat="1" ht="12">
      <c r="A62" s="11" t="s">
        <v>226</v>
      </c>
      <c r="C62" s="11" t="s">
        <v>110</v>
      </c>
      <c r="D62" s="11" t="s">
        <v>39</v>
      </c>
      <c r="F62" s="12">
        <v>37261848</v>
      </c>
      <c r="G62" s="12"/>
      <c r="H62" s="12">
        <v>24944593</v>
      </c>
      <c r="I62" s="12"/>
      <c r="J62" s="12">
        <v>0</v>
      </c>
      <c r="K62" s="12"/>
      <c r="L62" s="12">
        <v>1008375</v>
      </c>
      <c r="M62" s="12"/>
      <c r="N62" s="12">
        <v>3882</v>
      </c>
      <c r="O62" s="12"/>
      <c r="P62" s="12">
        <v>9273</v>
      </c>
      <c r="Q62" s="12"/>
      <c r="R62" s="12">
        <v>864321</v>
      </c>
      <c r="S62" s="12"/>
      <c r="T62" s="12">
        <v>1038408</v>
      </c>
      <c r="U62" s="12"/>
      <c r="V62" s="12">
        <v>0</v>
      </c>
      <c r="W62" s="12"/>
      <c r="X62" s="12">
        <v>0</v>
      </c>
      <c r="Y62" s="12"/>
      <c r="Z62" s="12">
        <v>0</v>
      </c>
      <c r="AA62" s="12"/>
      <c r="AB62" s="12">
        <v>0</v>
      </c>
      <c r="AC62" s="12"/>
      <c r="AD62" s="12">
        <f t="shared" si="0"/>
        <v>65130700</v>
      </c>
    </row>
    <row r="63" spans="1:30" s="11" customFormat="1" ht="12">
      <c r="A63" s="11" t="s">
        <v>227</v>
      </c>
      <c r="C63" s="11" t="s">
        <v>148</v>
      </c>
      <c r="D63" s="11" t="s">
        <v>40</v>
      </c>
      <c r="F63" s="12">
        <v>9215468</v>
      </c>
      <c r="G63" s="12"/>
      <c r="H63" s="12">
        <v>0</v>
      </c>
      <c r="I63" s="12"/>
      <c r="J63" s="12">
        <v>20194059</v>
      </c>
      <c r="K63" s="12"/>
      <c r="L63" s="12">
        <v>710518</v>
      </c>
      <c r="M63" s="12"/>
      <c r="N63" s="12">
        <v>92746</v>
      </c>
      <c r="O63" s="12"/>
      <c r="P63" s="12">
        <v>68725</v>
      </c>
      <c r="Q63" s="12"/>
      <c r="R63" s="12">
        <v>633707</v>
      </c>
      <c r="S63" s="12"/>
      <c r="T63" s="12">
        <v>291865</v>
      </c>
      <c r="U63" s="12"/>
      <c r="V63" s="12">
        <v>42200</v>
      </c>
      <c r="W63" s="12"/>
      <c r="X63" s="12">
        <v>3445</v>
      </c>
      <c r="Y63" s="12"/>
      <c r="Z63" s="12">
        <v>0</v>
      </c>
      <c r="AA63" s="12"/>
      <c r="AB63" s="12">
        <v>0</v>
      </c>
      <c r="AC63" s="12"/>
      <c r="AD63" s="12">
        <f t="shared" si="0"/>
        <v>31252733</v>
      </c>
    </row>
    <row r="64" spans="1:30" s="11" customFormat="1" ht="12">
      <c r="A64" s="11" t="s">
        <v>228</v>
      </c>
      <c r="C64" s="11" t="s">
        <v>229</v>
      </c>
      <c r="D64" s="11" t="s">
        <v>41</v>
      </c>
      <c r="F64" s="12">
        <v>0</v>
      </c>
      <c r="G64" s="12"/>
      <c r="H64" s="12">
        <v>1489460</v>
      </c>
      <c r="I64" s="12"/>
      <c r="J64" s="12">
        <v>0</v>
      </c>
      <c r="K64" s="12"/>
      <c r="L64" s="12">
        <v>24951</v>
      </c>
      <c r="M64" s="12"/>
      <c r="N64" s="12">
        <v>0</v>
      </c>
      <c r="O64" s="12"/>
      <c r="P64" s="12">
        <v>11444</v>
      </c>
      <c r="Q64" s="12"/>
      <c r="R64" s="12">
        <v>63010</v>
      </c>
      <c r="S64" s="12"/>
      <c r="T64" s="12">
        <v>21350</v>
      </c>
      <c r="U64" s="12"/>
      <c r="V64" s="12">
        <v>0</v>
      </c>
      <c r="W64" s="12"/>
      <c r="X64" s="12">
        <v>0</v>
      </c>
      <c r="Y64" s="12"/>
      <c r="Z64" s="12">
        <v>0</v>
      </c>
      <c r="AA64" s="12"/>
      <c r="AB64" s="12">
        <v>0</v>
      </c>
      <c r="AC64" s="12"/>
      <c r="AD64" s="12">
        <f t="shared" si="0"/>
        <v>1610215</v>
      </c>
    </row>
    <row r="65" spans="1:30" s="11" customFormat="1" ht="12">
      <c r="A65" s="11" t="s">
        <v>230</v>
      </c>
      <c r="C65" s="11" t="s">
        <v>163</v>
      </c>
      <c r="D65" s="11" t="s">
        <v>42</v>
      </c>
      <c r="F65" s="12">
        <v>0</v>
      </c>
      <c r="G65" s="12"/>
      <c r="H65" s="12">
        <v>2061047</v>
      </c>
      <c r="I65" s="12"/>
      <c r="J65" s="12">
        <v>0</v>
      </c>
      <c r="K65" s="12"/>
      <c r="L65" s="12">
        <v>56877</v>
      </c>
      <c r="M65" s="12"/>
      <c r="N65" s="12">
        <v>0</v>
      </c>
      <c r="O65" s="12"/>
      <c r="P65" s="12">
        <v>94270</v>
      </c>
      <c r="Q65" s="12"/>
      <c r="R65" s="12">
        <v>62194</v>
      </c>
      <c r="S65" s="12"/>
      <c r="T65" s="12">
        <v>17602</v>
      </c>
      <c r="U65" s="12"/>
      <c r="V65" s="12">
        <v>0</v>
      </c>
      <c r="W65" s="12"/>
      <c r="X65" s="12">
        <v>0</v>
      </c>
      <c r="Y65" s="12"/>
      <c r="Z65" s="12">
        <v>0</v>
      </c>
      <c r="AA65" s="12"/>
      <c r="AB65" s="12">
        <v>0</v>
      </c>
      <c r="AC65" s="12"/>
      <c r="AD65" s="12">
        <f t="shared" si="0"/>
        <v>2291990</v>
      </c>
    </row>
    <row r="66" spans="1:30" s="11" customFormat="1" ht="12">
      <c r="A66" s="11" t="s">
        <v>231</v>
      </c>
      <c r="C66" s="11" t="s">
        <v>194</v>
      </c>
      <c r="D66" s="11" t="s">
        <v>59</v>
      </c>
      <c r="F66" s="12">
        <v>0</v>
      </c>
      <c r="G66" s="12"/>
      <c r="H66" s="12">
        <v>440235.39</v>
      </c>
      <c r="I66" s="12"/>
      <c r="J66" s="12">
        <v>0</v>
      </c>
      <c r="K66" s="12"/>
      <c r="L66" s="12">
        <v>7807.44</v>
      </c>
      <c r="M66" s="12"/>
      <c r="N66" s="12">
        <v>0</v>
      </c>
      <c r="O66" s="12"/>
      <c r="P66" s="12">
        <v>23699.89</v>
      </c>
      <c r="Q66" s="12"/>
      <c r="R66" s="12">
        <v>15769.3</v>
      </c>
      <c r="S66" s="12"/>
      <c r="T66" s="12">
        <v>4701.35</v>
      </c>
      <c r="U66" s="12"/>
      <c r="V66" s="12">
        <v>0</v>
      </c>
      <c r="W66" s="12"/>
      <c r="X66" s="12">
        <v>0</v>
      </c>
      <c r="Y66" s="12"/>
      <c r="Z66" s="12">
        <v>0</v>
      </c>
      <c r="AA66" s="12"/>
      <c r="AB66" s="12">
        <v>0</v>
      </c>
      <c r="AC66" s="12"/>
      <c r="AD66" s="12">
        <f t="shared" si="0"/>
        <v>492213.37</v>
      </c>
    </row>
    <row r="67" spans="1:30" s="11" customFormat="1" ht="12">
      <c r="A67" s="11" t="s">
        <v>232</v>
      </c>
      <c r="C67" s="11" t="s">
        <v>135</v>
      </c>
      <c r="D67" s="11" t="s">
        <v>87</v>
      </c>
      <c r="F67" s="12">
        <v>0</v>
      </c>
      <c r="G67" s="12"/>
      <c r="H67" s="12">
        <v>297168.5</v>
      </c>
      <c r="I67" s="12"/>
      <c r="J67" s="12">
        <v>16220.95</v>
      </c>
      <c r="K67" s="12"/>
      <c r="L67" s="12">
        <v>15008.67</v>
      </c>
      <c r="M67" s="12"/>
      <c r="N67" s="12">
        <v>0</v>
      </c>
      <c r="O67" s="12"/>
      <c r="P67" s="12">
        <v>40206.22</v>
      </c>
      <c r="Q67" s="12"/>
      <c r="R67" s="12">
        <v>10026.9</v>
      </c>
      <c r="S67" s="12"/>
      <c r="T67" s="12">
        <v>0</v>
      </c>
      <c r="U67" s="12"/>
      <c r="V67" s="12">
        <v>1093.27</v>
      </c>
      <c r="W67" s="12"/>
      <c r="X67" s="12">
        <v>0</v>
      </c>
      <c r="Y67" s="12"/>
      <c r="Z67" s="12">
        <v>0</v>
      </c>
      <c r="AA67" s="12"/>
      <c r="AB67" s="12">
        <v>0</v>
      </c>
      <c r="AC67" s="12"/>
      <c r="AD67" s="12">
        <f t="shared" si="0"/>
        <v>379724.51</v>
      </c>
    </row>
    <row r="68" spans="1:30" s="11" customFormat="1" ht="12">
      <c r="A68" s="11" t="s">
        <v>233</v>
      </c>
      <c r="C68" s="11" t="s">
        <v>156</v>
      </c>
      <c r="D68" s="11" t="s">
        <v>43</v>
      </c>
      <c r="F68" s="12">
        <v>0</v>
      </c>
      <c r="G68" s="12"/>
      <c r="H68" s="12">
        <v>337199</v>
      </c>
      <c r="I68" s="12"/>
      <c r="J68" s="12">
        <v>0</v>
      </c>
      <c r="K68" s="12"/>
      <c r="L68" s="12">
        <v>11504</v>
      </c>
      <c r="M68" s="12"/>
      <c r="N68" s="12">
        <v>0</v>
      </c>
      <c r="O68" s="12"/>
      <c r="P68" s="12">
        <v>10274</v>
      </c>
      <c r="Q68" s="12"/>
      <c r="R68" s="12">
        <v>11168</v>
      </c>
      <c r="S68" s="12"/>
      <c r="T68" s="12">
        <v>0</v>
      </c>
      <c r="U68" s="12"/>
      <c r="V68" s="12">
        <v>0</v>
      </c>
      <c r="W68" s="12"/>
      <c r="X68" s="12">
        <v>0</v>
      </c>
      <c r="Y68" s="12"/>
      <c r="Z68" s="12">
        <v>0</v>
      </c>
      <c r="AA68" s="12"/>
      <c r="AB68" s="12">
        <v>0</v>
      </c>
      <c r="AC68" s="12"/>
      <c r="AD68" s="12">
        <f t="shared" si="0"/>
        <v>370145</v>
      </c>
    </row>
    <row r="69" spans="1:30" s="11" customFormat="1" ht="12">
      <c r="A69" s="11" t="s">
        <v>234</v>
      </c>
      <c r="C69" s="11" t="s">
        <v>117</v>
      </c>
      <c r="D69" s="11" t="s">
        <v>44</v>
      </c>
      <c r="F69" s="12">
        <v>0</v>
      </c>
      <c r="G69" s="12"/>
      <c r="H69" s="12">
        <v>737451</v>
      </c>
      <c r="I69" s="12"/>
      <c r="J69" s="12">
        <v>0</v>
      </c>
      <c r="K69" s="12"/>
      <c r="L69" s="12">
        <v>25799</v>
      </c>
      <c r="M69" s="12"/>
      <c r="N69" s="12">
        <v>0</v>
      </c>
      <c r="O69" s="12"/>
      <c r="P69" s="12">
        <v>61585</v>
      </c>
      <c r="Q69" s="12"/>
      <c r="R69" s="12">
        <v>50252</v>
      </c>
      <c r="S69" s="12"/>
      <c r="T69" s="12">
        <v>3994</v>
      </c>
      <c r="U69" s="12"/>
      <c r="V69" s="12">
        <v>0</v>
      </c>
      <c r="W69" s="12"/>
      <c r="X69" s="12">
        <v>0</v>
      </c>
      <c r="Y69" s="12"/>
      <c r="Z69" s="12">
        <v>0</v>
      </c>
      <c r="AA69" s="12"/>
      <c r="AB69" s="12">
        <v>0</v>
      </c>
      <c r="AC69" s="12"/>
      <c r="AD69" s="12">
        <f t="shared" si="0"/>
        <v>879081</v>
      </c>
    </row>
    <row r="70" spans="1:30" s="11" customFormat="1" ht="12">
      <c r="A70" s="11" t="s">
        <v>455</v>
      </c>
      <c r="C70" s="11" t="s">
        <v>236</v>
      </c>
      <c r="D70" s="11" t="s">
        <v>92</v>
      </c>
      <c r="F70" s="12">
        <v>0</v>
      </c>
      <c r="G70" s="12"/>
      <c r="H70" s="12">
        <v>1186847.72</v>
      </c>
      <c r="I70" s="12"/>
      <c r="J70" s="12">
        <v>65119.2</v>
      </c>
      <c r="K70" s="12"/>
      <c r="L70" s="12">
        <v>44733.61</v>
      </c>
      <c r="M70" s="12"/>
      <c r="N70" s="12">
        <v>0</v>
      </c>
      <c r="O70" s="12"/>
      <c r="P70" s="12">
        <v>9942</v>
      </c>
      <c r="Q70" s="12"/>
      <c r="R70" s="12">
        <v>54400.46</v>
      </c>
      <c r="S70" s="12"/>
      <c r="T70" s="12">
        <v>5070.65</v>
      </c>
      <c r="U70" s="12"/>
      <c r="V70" s="12">
        <v>0</v>
      </c>
      <c r="W70" s="12"/>
      <c r="X70" s="12">
        <v>0</v>
      </c>
      <c r="Y70" s="12"/>
      <c r="Z70" s="12">
        <v>0</v>
      </c>
      <c r="AA70" s="12"/>
      <c r="AB70" s="12">
        <v>0</v>
      </c>
      <c r="AC70" s="12"/>
      <c r="AD70" s="12">
        <f t="shared" si="0"/>
        <v>1366113.64</v>
      </c>
    </row>
    <row r="71" spans="1:30" s="11" customFormat="1" ht="12">
      <c r="A71" s="11" t="s">
        <v>237</v>
      </c>
      <c r="C71" s="11" t="s">
        <v>183</v>
      </c>
      <c r="D71" s="11" t="s">
        <v>23</v>
      </c>
      <c r="F71" s="12">
        <v>20176</v>
      </c>
      <c r="G71" s="12"/>
      <c r="H71" s="12">
        <v>63772</v>
      </c>
      <c r="I71" s="12"/>
      <c r="J71" s="12">
        <v>2553</v>
      </c>
      <c r="K71" s="12"/>
      <c r="L71" s="12">
        <v>1023</v>
      </c>
      <c r="M71" s="12"/>
      <c r="N71" s="12">
        <v>0</v>
      </c>
      <c r="O71" s="12"/>
      <c r="P71" s="12">
        <v>755</v>
      </c>
      <c r="Q71" s="12"/>
      <c r="R71" s="12">
        <v>17479</v>
      </c>
      <c r="S71" s="12"/>
      <c r="T71" s="12">
        <v>0</v>
      </c>
      <c r="U71" s="12"/>
      <c r="V71" s="12">
        <v>0</v>
      </c>
      <c r="W71" s="12"/>
      <c r="X71" s="12">
        <v>0</v>
      </c>
      <c r="Y71" s="12"/>
      <c r="Z71" s="12">
        <v>0</v>
      </c>
      <c r="AA71" s="12"/>
      <c r="AB71" s="12">
        <v>0</v>
      </c>
      <c r="AC71" s="12"/>
      <c r="AD71" s="12">
        <f t="shared" si="0"/>
        <v>105758</v>
      </c>
    </row>
    <row r="72" spans="1:30" s="11" customFormat="1" ht="12">
      <c r="A72" s="11" t="s">
        <v>238</v>
      </c>
      <c r="C72" s="11" t="s">
        <v>144</v>
      </c>
      <c r="D72" s="11" t="s">
        <v>34</v>
      </c>
      <c r="F72" s="12">
        <v>0</v>
      </c>
      <c r="G72" s="12"/>
      <c r="H72" s="12">
        <v>439120.34</v>
      </c>
      <c r="I72" s="12"/>
      <c r="J72" s="12">
        <v>0</v>
      </c>
      <c r="K72" s="12"/>
      <c r="L72" s="12">
        <v>15412.55</v>
      </c>
      <c r="M72" s="12"/>
      <c r="N72" s="12">
        <v>0</v>
      </c>
      <c r="O72" s="12"/>
      <c r="P72" s="12">
        <v>2288</v>
      </c>
      <c r="Q72" s="12"/>
      <c r="R72" s="12">
        <v>36877.83</v>
      </c>
      <c r="S72" s="12"/>
      <c r="T72" s="12">
        <v>1058.79</v>
      </c>
      <c r="U72" s="12"/>
      <c r="V72" s="12">
        <v>0</v>
      </c>
      <c r="W72" s="12"/>
      <c r="X72" s="12">
        <v>10076.65</v>
      </c>
      <c r="Y72" s="12"/>
      <c r="Z72" s="12">
        <v>0</v>
      </c>
      <c r="AA72" s="12"/>
      <c r="AB72" s="12">
        <v>4148.27</v>
      </c>
      <c r="AC72" s="12"/>
      <c r="AD72" s="12">
        <f t="shared" si="0"/>
        <v>508982.43000000005</v>
      </c>
    </row>
    <row r="73" spans="1:30" s="11" customFormat="1" ht="12">
      <c r="A73" s="11" t="s">
        <v>598</v>
      </c>
      <c r="C73" s="11" t="s">
        <v>111</v>
      </c>
      <c r="D73" s="11" t="s">
        <v>18</v>
      </c>
      <c r="F73" s="12">
        <f>919647+1094311</f>
        <v>2013958</v>
      </c>
      <c r="G73" s="12"/>
      <c r="H73" s="12">
        <v>0</v>
      </c>
      <c r="I73" s="12"/>
      <c r="J73" s="12">
        <v>125404</v>
      </c>
      <c r="K73" s="12"/>
      <c r="L73" s="12">
        <v>62741</v>
      </c>
      <c r="M73" s="12"/>
      <c r="N73" s="12">
        <v>0</v>
      </c>
      <c r="O73" s="12"/>
      <c r="P73" s="12">
        <v>8682</v>
      </c>
      <c r="Q73" s="12"/>
      <c r="R73" s="12">
        <v>72497</v>
      </c>
      <c r="S73" s="12"/>
      <c r="T73" s="12">
        <v>1965</v>
      </c>
      <c r="U73" s="12"/>
      <c r="V73" s="12">
        <v>0</v>
      </c>
      <c r="W73" s="12"/>
      <c r="X73" s="12">
        <v>0</v>
      </c>
      <c r="Y73" s="12"/>
      <c r="Z73" s="12">
        <v>0</v>
      </c>
      <c r="AA73" s="12"/>
      <c r="AB73" s="12">
        <v>0</v>
      </c>
      <c r="AC73" s="12"/>
      <c r="AD73" s="12">
        <f>SUM(F73:AB73)</f>
        <v>2285247</v>
      </c>
    </row>
    <row r="74" spans="1:30" s="11" customFormat="1" ht="12">
      <c r="A74" s="11" t="s">
        <v>239</v>
      </c>
      <c r="C74" s="11" t="s">
        <v>150</v>
      </c>
      <c r="D74" s="11" t="s">
        <v>18</v>
      </c>
      <c r="F74" s="12">
        <v>975539</v>
      </c>
      <c r="G74" s="12"/>
      <c r="H74" s="12">
        <v>2565311</v>
      </c>
      <c r="I74" s="12"/>
      <c r="J74" s="12">
        <v>0</v>
      </c>
      <c r="K74" s="12"/>
      <c r="L74" s="12">
        <v>114312</v>
      </c>
      <c r="M74" s="12"/>
      <c r="N74" s="12">
        <v>0</v>
      </c>
      <c r="O74" s="12"/>
      <c r="P74" s="12">
        <v>31103</v>
      </c>
      <c r="Q74" s="12"/>
      <c r="R74" s="12">
        <v>99176</v>
      </c>
      <c r="S74" s="12"/>
      <c r="T74" s="12">
        <v>4257</v>
      </c>
      <c r="U74" s="12"/>
      <c r="V74" s="12">
        <v>0</v>
      </c>
      <c r="W74" s="12"/>
      <c r="X74" s="12">
        <v>0</v>
      </c>
      <c r="Y74" s="12"/>
      <c r="Z74" s="12">
        <v>0</v>
      </c>
      <c r="AA74" s="12"/>
      <c r="AB74" s="12">
        <v>0</v>
      </c>
      <c r="AC74" s="12"/>
      <c r="AD74" s="12">
        <f aca="true" t="shared" si="1" ref="AD74:AD136">SUM(F74:AB74)</f>
        <v>3789698</v>
      </c>
    </row>
    <row r="75" spans="1:30" s="11" customFormat="1" ht="12">
      <c r="A75" s="11" t="s">
        <v>109</v>
      </c>
      <c r="C75" s="11" t="s">
        <v>110</v>
      </c>
      <c r="D75" s="11" t="s">
        <v>39</v>
      </c>
      <c r="F75" s="12">
        <v>2620870</v>
      </c>
      <c r="G75" s="12"/>
      <c r="H75" s="12">
        <v>0</v>
      </c>
      <c r="I75" s="12"/>
      <c r="J75" s="12">
        <v>2439658</v>
      </c>
      <c r="K75" s="12"/>
      <c r="L75" s="12">
        <v>144171</v>
      </c>
      <c r="M75" s="12"/>
      <c r="N75" s="12">
        <v>0</v>
      </c>
      <c r="O75" s="12"/>
      <c r="P75" s="12">
        <v>2840</v>
      </c>
      <c r="Q75" s="12"/>
      <c r="R75" s="12">
        <v>172319</v>
      </c>
      <c r="S75" s="12"/>
      <c r="T75" s="12">
        <v>43266</v>
      </c>
      <c r="U75" s="12"/>
      <c r="V75" s="12">
        <v>0</v>
      </c>
      <c r="W75" s="12"/>
      <c r="X75" s="12">
        <v>0</v>
      </c>
      <c r="Y75" s="12"/>
      <c r="Z75" s="12">
        <v>0</v>
      </c>
      <c r="AA75" s="12"/>
      <c r="AB75" s="12">
        <v>0</v>
      </c>
      <c r="AC75" s="12"/>
      <c r="AD75" s="12">
        <f t="shared" si="1"/>
        <v>5423124</v>
      </c>
    </row>
    <row r="76" spans="1:30" s="11" customFormat="1" ht="12">
      <c r="A76" s="11" t="s">
        <v>240</v>
      </c>
      <c r="C76" s="11" t="s">
        <v>135</v>
      </c>
      <c r="D76" s="11" t="s">
        <v>87</v>
      </c>
      <c r="F76" s="12">
        <v>0</v>
      </c>
      <c r="G76" s="12"/>
      <c r="H76" s="12">
        <v>311133.7</v>
      </c>
      <c r="I76" s="12"/>
      <c r="J76" s="12">
        <v>0</v>
      </c>
      <c r="K76" s="12"/>
      <c r="L76" s="12">
        <v>7883.09</v>
      </c>
      <c r="M76" s="12"/>
      <c r="N76" s="12">
        <v>0</v>
      </c>
      <c r="O76" s="12"/>
      <c r="P76" s="12">
        <v>10240.49</v>
      </c>
      <c r="Q76" s="12"/>
      <c r="R76" s="12">
        <v>8518.89</v>
      </c>
      <c r="S76" s="12"/>
      <c r="T76" s="12">
        <v>3003.51</v>
      </c>
      <c r="U76" s="12"/>
      <c r="V76" s="12">
        <v>0</v>
      </c>
      <c r="W76" s="12"/>
      <c r="X76" s="12">
        <v>0</v>
      </c>
      <c r="Y76" s="12"/>
      <c r="Z76" s="12">
        <v>0</v>
      </c>
      <c r="AA76" s="12"/>
      <c r="AB76" s="12">
        <v>0</v>
      </c>
      <c r="AC76" s="12"/>
      <c r="AD76" s="12">
        <f t="shared" si="1"/>
        <v>340779.68000000005</v>
      </c>
    </row>
    <row r="77" spans="6:30" s="11" customFormat="1" ht="12"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7" t="s">
        <v>98</v>
      </c>
    </row>
    <row r="78" spans="1:30" s="11" customFormat="1" ht="12">
      <c r="A78" s="11" t="s">
        <v>241</v>
      </c>
      <c r="C78" s="11" t="s">
        <v>160</v>
      </c>
      <c r="D78" s="11" t="s">
        <v>45</v>
      </c>
      <c r="F78" s="26">
        <v>895268</v>
      </c>
      <c r="G78" s="26"/>
      <c r="H78" s="26">
        <v>2854735</v>
      </c>
      <c r="I78" s="26"/>
      <c r="J78" s="26">
        <v>4190</v>
      </c>
      <c r="K78" s="26"/>
      <c r="L78" s="26">
        <v>162044</v>
      </c>
      <c r="M78" s="26"/>
      <c r="N78" s="26">
        <v>0</v>
      </c>
      <c r="O78" s="26"/>
      <c r="P78" s="26">
        <v>0</v>
      </c>
      <c r="Q78" s="26"/>
      <c r="R78" s="26">
        <v>57332</v>
      </c>
      <c r="S78" s="26"/>
      <c r="T78" s="26">
        <v>12672</v>
      </c>
      <c r="U78" s="26"/>
      <c r="V78" s="26">
        <v>0</v>
      </c>
      <c r="W78" s="26"/>
      <c r="X78" s="26">
        <v>0</v>
      </c>
      <c r="Y78" s="26"/>
      <c r="Z78" s="26">
        <v>0</v>
      </c>
      <c r="AA78" s="26"/>
      <c r="AB78" s="26">
        <v>0</v>
      </c>
      <c r="AC78" s="26"/>
      <c r="AD78" s="26">
        <f t="shared" si="1"/>
        <v>3986241</v>
      </c>
    </row>
    <row r="79" spans="1:30" s="11" customFormat="1" ht="12">
      <c r="A79" s="11" t="s">
        <v>242</v>
      </c>
      <c r="C79" s="11" t="s">
        <v>106</v>
      </c>
      <c r="D79" s="11" t="s">
        <v>46</v>
      </c>
      <c r="F79" s="12">
        <v>117750</v>
      </c>
      <c r="G79" s="12"/>
      <c r="H79" s="12">
        <v>288430</v>
      </c>
      <c r="I79" s="12"/>
      <c r="J79" s="12">
        <v>0</v>
      </c>
      <c r="K79" s="12"/>
      <c r="L79" s="12">
        <v>3528</v>
      </c>
      <c r="M79" s="12"/>
      <c r="N79" s="12">
        <v>0</v>
      </c>
      <c r="O79" s="12"/>
      <c r="P79" s="12">
        <v>1459</v>
      </c>
      <c r="Q79" s="12"/>
      <c r="R79" s="12">
        <v>8232</v>
      </c>
      <c r="S79" s="12"/>
      <c r="T79" s="12">
        <v>16173</v>
      </c>
      <c r="U79" s="12"/>
      <c r="V79" s="12">
        <v>0</v>
      </c>
      <c r="W79" s="12"/>
      <c r="X79" s="12">
        <v>0</v>
      </c>
      <c r="Y79" s="12"/>
      <c r="Z79" s="12">
        <v>0</v>
      </c>
      <c r="AA79" s="12"/>
      <c r="AB79" s="12">
        <v>0</v>
      </c>
      <c r="AC79" s="12"/>
      <c r="AD79" s="12">
        <f t="shared" si="1"/>
        <v>435572</v>
      </c>
    </row>
    <row r="80" spans="1:30" s="11" customFormat="1" ht="12">
      <c r="A80" s="11" t="s">
        <v>243</v>
      </c>
      <c r="C80" s="11" t="s">
        <v>244</v>
      </c>
      <c r="D80" s="11" t="s">
        <v>47</v>
      </c>
      <c r="F80" s="12">
        <v>0</v>
      </c>
      <c r="G80" s="12"/>
      <c r="H80" s="12">
        <v>0</v>
      </c>
      <c r="I80" s="12"/>
      <c r="J80" s="12">
        <v>2513294</v>
      </c>
      <c r="K80" s="12"/>
      <c r="L80" s="12">
        <v>108057</v>
      </c>
      <c r="M80" s="12"/>
      <c r="N80" s="12">
        <v>0</v>
      </c>
      <c r="O80" s="12"/>
      <c r="P80" s="12">
        <v>15723</v>
      </c>
      <c r="Q80" s="12"/>
      <c r="R80" s="12">
        <v>80847</v>
      </c>
      <c r="S80" s="12"/>
      <c r="T80" s="12">
        <v>79405</v>
      </c>
      <c r="U80" s="12"/>
      <c r="V80" s="12">
        <v>0</v>
      </c>
      <c r="W80" s="12"/>
      <c r="X80" s="12">
        <v>0</v>
      </c>
      <c r="Y80" s="12"/>
      <c r="Z80" s="12">
        <v>0</v>
      </c>
      <c r="AA80" s="12"/>
      <c r="AB80" s="12">
        <v>0</v>
      </c>
      <c r="AC80" s="12"/>
      <c r="AD80" s="12">
        <f t="shared" si="1"/>
        <v>2797326</v>
      </c>
    </row>
    <row r="81" spans="1:30" s="11" customFormat="1" ht="12">
      <c r="A81" s="11" t="s">
        <v>245</v>
      </c>
      <c r="C81" s="11" t="s">
        <v>146</v>
      </c>
      <c r="D81" s="11" t="s">
        <v>82</v>
      </c>
      <c r="F81" s="12">
        <v>0</v>
      </c>
      <c r="G81" s="12"/>
      <c r="H81" s="12">
        <v>799936.08</v>
      </c>
      <c r="I81" s="12"/>
      <c r="J81" s="12">
        <v>0</v>
      </c>
      <c r="K81" s="12"/>
      <c r="L81" s="12">
        <v>17180.92</v>
      </c>
      <c r="M81" s="12"/>
      <c r="N81" s="12">
        <v>0</v>
      </c>
      <c r="O81" s="12"/>
      <c r="P81" s="12">
        <v>6277.4</v>
      </c>
      <c r="Q81" s="12"/>
      <c r="R81" s="12">
        <v>14680.7</v>
      </c>
      <c r="S81" s="12"/>
      <c r="T81" s="12">
        <v>5360.34</v>
      </c>
      <c r="U81" s="12"/>
      <c r="V81" s="12">
        <v>0</v>
      </c>
      <c r="W81" s="12"/>
      <c r="X81" s="12">
        <v>0</v>
      </c>
      <c r="Y81" s="12"/>
      <c r="Z81" s="12">
        <v>0</v>
      </c>
      <c r="AA81" s="12"/>
      <c r="AB81" s="12">
        <v>0</v>
      </c>
      <c r="AC81" s="12"/>
      <c r="AD81" s="12">
        <f t="shared" si="1"/>
        <v>843435.44</v>
      </c>
    </row>
    <row r="82" spans="1:30" s="26" customFormat="1" ht="12">
      <c r="A82" s="11" t="s">
        <v>246</v>
      </c>
      <c r="B82" s="11"/>
      <c r="C82" s="11" t="s">
        <v>154</v>
      </c>
      <c r="D82" s="11" t="s">
        <v>53</v>
      </c>
      <c r="E82" s="11"/>
      <c r="F82" s="12">
        <v>0</v>
      </c>
      <c r="G82" s="12"/>
      <c r="H82" s="12">
        <v>101381.54</v>
      </c>
      <c r="I82" s="12"/>
      <c r="J82" s="12">
        <v>155.8</v>
      </c>
      <c r="K82" s="12"/>
      <c r="L82" s="12">
        <v>2583.28</v>
      </c>
      <c r="M82" s="12"/>
      <c r="N82" s="12">
        <v>0</v>
      </c>
      <c r="O82" s="12"/>
      <c r="P82" s="12">
        <v>1344.61</v>
      </c>
      <c r="Q82" s="12"/>
      <c r="R82" s="12">
        <v>1760.76</v>
      </c>
      <c r="S82" s="12"/>
      <c r="T82" s="12">
        <v>340</v>
      </c>
      <c r="U82" s="12"/>
      <c r="V82" s="12">
        <v>0</v>
      </c>
      <c r="W82" s="12"/>
      <c r="X82" s="12">
        <v>0</v>
      </c>
      <c r="Y82" s="12"/>
      <c r="Z82" s="12">
        <v>0</v>
      </c>
      <c r="AA82" s="12"/>
      <c r="AB82" s="12">
        <v>0</v>
      </c>
      <c r="AC82" s="12"/>
      <c r="AD82" s="12">
        <f t="shared" si="1"/>
        <v>107565.98999999999</v>
      </c>
    </row>
    <row r="83" spans="1:30" s="11" customFormat="1" ht="12">
      <c r="A83" s="11" t="s">
        <v>247</v>
      </c>
      <c r="C83" s="11" t="s">
        <v>143</v>
      </c>
      <c r="D83" s="11" t="s">
        <v>49</v>
      </c>
      <c r="F83" s="12">
        <v>0</v>
      </c>
      <c r="G83" s="12"/>
      <c r="H83" s="12">
        <v>112212</v>
      </c>
      <c r="I83" s="12"/>
      <c r="J83" s="12">
        <v>0</v>
      </c>
      <c r="K83" s="12"/>
      <c r="L83" s="12">
        <v>3267</v>
      </c>
      <c r="M83" s="12"/>
      <c r="N83" s="12">
        <v>0</v>
      </c>
      <c r="O83" s="12"/>
      <c r="P83" s="12">
        <v>2313</v>
      </c>
      <c r="Q83" s="12"/>
      <c r="R83" s="12">
        <v>420</v>
      </c>
      <c r="S83" s="12"/>
      <c r="T83" s="12">
        <v>1026</v>
      </c>
      <c r="U83" s="12"/>
      <c r="V83" s="12">
        <v>0</v>
      </c>
      <c r="W83" s="12"/>
      <c r="X83" s="12">
        <v>0</v>
      </c>
      <c r="Y83" s="12"/>
      <c r="Z83" s="12">
        <v>0</v>
      </c>
      <c r="AA83" s="12"/>
      <c r="AB83" s="12">
        <v>0</v>
      </c>
      <c r="AC83" s="12"/>
      <c r="AD83" s="12">
        <f t="shared" si="1"/>
        <v>119238</v>
      </c>
    </row>
    <row r="84" spans="1:31" s="11" customFormat="1" ht="12">
      <c r="A84" s="26" t="s">
        <v>248</v>
      </c>
      <c r="B84" s="26"/>
      <c r="C84" s="26" t="s">
        <v>147</v>
      </c>
      <c r="D84" s="26" t="s">
        <v>78</v>
      </c>
      <c r="E84" s="26"/>
      <c r="F84" s="12">
        <v>0</v>
      </c>
      <c r="G84" s="12"/>
      <c r="H84" s="12">
        <v>1354828.11</v>
      </c>
      <c r="I84" s="12"/>
      <c r="J84" s="12">
        <v>0</v>
      </c>
      <c r="K84" s="12"/>
      <c r="L84" s="12">
        <v>61661.88</v>
      </c>
      <c r="M84" s="12"/>
      <c r="N84" s="12">
        <v>0</v>
      </c>
      <c r="O84" s="12"/>
      <c r="P84" s="12">
        <v>2597.77</v>
      </c>
      <c r="Q84" s="12"/>
      <c r="R84" s="12">
        <v>13053.67</v>
      </c>
      <c r="S84" s="12"/>
      <c r="T84" s="12">
        <v>2521.39</v>
      </c>
      <c r="U84" s="12"/>
      <c r="V84" s="12">
        <v>0</v>
      </c>
      <c r="W84" s="12"/>
      <c r="X84" s="12">
        <v>150000</v>
      </c>
      <c r="Y84" s="12"/>
      <c r="Z84" s="12">
        <v>0</v>
      </c>
      <c r="AA84" s="12"/>
      <c r="AB84" s="12">
        <v>0</v>
      </c>
      <c r="AC84" s="12"/>
      <c r="AD84" s="12">
        <f t="shared" si="1"/>
        <v>1584662.8199999998</v>
      </c>
      <c r="AE84" s="12"/>
    </row>
    <row r="85" spans="1:30" s="11" customFormat="1" ht="12">
      <c r="A85" s="11" t="s">
        <v>249</v>
      </c>
      <c r="C85" s="11" t="s">
        <v>145</v>
      </c>
      <c r="D85" s="11" t="s">
        <v>31</v>
      </c>
      <c r="F85" s="12">
        <v>0</v>
      </c>
      <c r="G85" s="12"/>
      <c r="H85" s="12">
        <v>639805.99</v>
      </c>
      <c r="I85" s="12"/>
      <c r="J85" s="12">
        <v>2354.38</v>
      </c>
      <c r="K85" s="12"/>
      <c r="L85" s="12">
        <v>20255.31</v>
      </c>
      <c r="M85" s="12"/>
      <c r="N85" s="12">
        <v>0</v>
      </c>
      <c r="O85" s="12"/>
      <c r="P85" s="12">
        <v>7246.64</v>
      </c>
      <c r="Q85" s="12"/>
      <c r="R85" s="12">
        <v>55682.48</v>
      </c>
      <c r="S85" s="12"/>
      <c r="T85" s="12">
        <v>169.8</v>
      </c>
      <c r="U85" s="12"/>
      <c r="V85" s="12">
        <v>0</v>
      </c>
      <c r="W85" s="12"/>
      <c r="X85" s="12">
        <v>0</v>
      </c>
      <c r="Y85" s="12"/>
      <c r="Z85" s="12">
        <v>0</v>
      </c>
      <c r="AA85" s="12"/>
      <c r="AB85" s="12">
        <v>0</v>
      </c>
      <c r="AC85" s="12"/>
      <c r="AD85" s="12">
        <f t="shared" si="1"/>
        <v>725514.6000000001</v>
      </c>
    </row>
    <row r="86" spans="1:30" s="11" customFormat="1" ht="12">
      <c r="A86" s="11" t="s">
        <v>456</v>
      </c>
      <c r="C86" s="11" t="s">
        <v>251</v>
      </c>
      <c r="D86" s="11" t="s">
        <v>48</v>
      </c>
      <c r="F86" s="12">
        <v>0</v>
      </c>
      <c r="G86" s="12"/>
      <c r="H86" s="12">
        <v>968643</v>
      </c>
      <c r="I86" s="12"/>
      <c r="J86" s="12">
        <v>0</v>
      </c>
      <c r="K86" s="12"/>
      <c r="L86" s="12">
        <v>29412</v>
      </c>
      <c r="M86" s="12"/>
      <c r="N86" s="12">
        <v>0</v>
      </c>
      <c r="O86" s="12"/>
      <c r="P86" s="12">
        <v>7658</v>
      </c>
      <c r="Q86" s="12"/>
      <c r="R86" s="12">
        <v>22608</v>
      </c>
      <c r="S86" s="12"/>
      <c r="T86" s="12">
        <v>21042</v>
      </c>
      <c r="U86" s="12"/>
      <c r="V86" s="12">
        <v>0</v>
      </c>
      <c r="W86" s="12"/>
      <c r="X86" s="12">
        <v>0</v>
      </c>
      <c r="Y86" s="12"/>
      <c r="Z86" s="12">
        <v>0</v>
      </c>
      <c r="AA86" s="12"/>
      <c r="AB86" s="12">
        <v>0</v>
      </c>
      <c r="AC86" s="12"/>
      <c r="AD86" s="12">
        <f t="shared" si="1"/>
        <v>1049363</v>
      </c>
    </row>
    <row r="87" spans="1:30" s="11" customFormat="1" ht="12">
      <c r="A87" s="11" t="s">
        <v>252</v>
      </c>
      <c r="C87" s="11" t="s">
        <v>108</v>
      </c>
      <c r="D87" s="11" t="s">
        <v>50</v>
      </c>
      <c r="F87" s="12">
        <v>2119009</v>
      </c>
      <c r="G87" s="12"/>
      <c r="H87" s="12">
        <v>0</v>
      </c>
      <c r="I87" s="12"/>
      <c r="J87" s="12">
        <v>3563002</v>
      </c>
      <c r="K87" s="12"/>
      <c r="L87" s="12">
        <v>225410</v>
      </c>
      <c r="M87" s="12"/>
      <c r="N87" s="12">
        <v>0</v>
      </c>
      <c r="O87" s="12"/>
      <c r="P87" s="12">
        <v>29189</v>
      </c>
      <c r="Q87" s="12"/>
      <c r="R87" s="12">
        <v>43616</v>
      </c>
      <c r="S87" s="12"/>
      <c r="T87" s="12">
        <f>7820+8025</f>
        <v>15845</v>
      </c>
      <c r="U87" s="12"/>
      <c r="V87" s="12">
        <v>0</v>
      </c>
      <c r="W87" s="12"/>
      <c r="X87" s="12">
        <v>0</v>
      </c>
      <c r="Y87" s="12"/>
      <c r="Z87" s="12">
        <v>0</v>
      </c>
      <c r="AA87" s="12"/>
      <c r="AB87" s="12">
        <v>0</v>
      </c>
      <c r="AC87" s="12"/>
      <c r="AD87" s="12">
        <f t="shared" si="1"/>
        <v>5996071</v>
      </c>
    </row>
    <row r="88" spans="1:30" s="11" customFormat="1" ht="12">
      <c r="A88" s="11" t="s">
        <v>253</v>
      </c>
      <c r="C88" s="11" t="s">
        <v>148</v>
      </c>
      <c r="D88" s="11" t="s">
        <v>40</v>
      </c>
      <c r="F88" s="12">
        <v>0</v>
      </c>
      <c r="G88" s="12"/>
      <c r="H88" s="12">
        <v>854281.36</v>
      </c>
      <c r="I88" s="12"/>
      <c r="J88" s="12">
        <v>0</v>
      </c>
      <c r="K88" s="12"/>
      <c r="L88" s="12">
        <v>18747.99</v>
      </c>
      <c r="M88" s="12"/>
      <c r="N88" s="12">
        <v>0</v>
      </c>
      <c r="O88" s="12"/>
      <c r="P88" s="12">
        <v>5040</v>
      </c>
      <c r="Q88" s="12"/>
      <c r="R88" s="12">
        <v>17582.9</v>
      </c>
      <c r="S88" s="12"/>
      <c r="T88" s="12">
        <v>1851.04</v>
      </c>
      <c r="U88" s="12"/>
      <c r="V88" s="12">
        <v>0</v>
      </c>
      <c r="W88" s="12"/>
      <c r="X88" s="12">
        <v>0</v>
      </c>
      <c r="Y88" s="12"/>
      <c r="Z88" s="12">
        <v>0</v>
      </c>
      <c r="AA88" s="12"/>
      <c r="AB88" s="12">
        <v>0</v>
      </c>
      <c r="AC88" s="12"/>
      <c r="AD88" s="12">
        <f t="shared" si="1"/>
        <v>897503.29</v>
      </c>
    </row>
    <row r="89" spans="1:30" s="11" customFormat="1" ht="12">
      <c r="A89" s="11" t="s">
        <v>127</v>
      </c>
      <c r="C89" s="11" t="s">
        <v>149</v>
      </c>
      <c r="D89" s="11" t="s">
        <v>29</v>
      </c>
      <c r="F89" s="12">
        <v>0</v>
      </c>
      <c r="G89" s="12"/>
      <c r="H89" s="12">
        <v>0</v>
      </c>
      <c r="I89" s="12"/>
      <c r="J89" s="12">
        <v>850106.23</v>
      </c>
      <c r="K89" s="12"/>
      <c r="L89" s="12">
        <v>13117.61</v>
      </c>
      <c r="M89" s="12"/>
      <c r="N89" s="12">
        <v>0</v>
      </c>
      <c r="O89" s="12"/>
      <c r="P89" s="12">
        <v>6293</v>
      </c>
      <c r="Q89" s="12"/>
      <c r="R89" s="12">
        <v>16186.24</v>
      </c>
      <c r="S89" s="12"/>
      <c r="T89" s="12">
        <v>9067.02</v>
      </c>
      <c r="U89" s="12"/>
      <c r="V89" s="12">
        <v>0</v>
      </c>
      <c r="W89" s="12"/>
      <c r="X89" s="12">
        <v>0</v>
      </c>
      <c r="Y89" s="12"/>
      <c r="Z89" s="12">
        <v>0</v>
      </c>
      <c r="AA89" s="12"/>
      <c r="AB89" s="12">
        <v>0</v>
      </c>
      <c r="AC89" s="12"/>
      <c r="AD89" s="12">
        <f t="shared" si="1"/>
        <v>894770.1</v>
      </c>
    </row>
    <row r="90" spans="1:30" s="11" customFormat="1" ht="12">
      <c r="A90" s="11" t="s">
        <v>128</v>
      </c>
      <c r="C90" s="11" t="s">
        <v>117</v>
      </c>
      <c r="D90" s="11" t="s">
        <v>44</v>
      </c>
      <c r="F90" s="12">
        <v>0</v>
      </c>
      <c r="G90" s="12"/>
      <c r="H90" s="12">
        <v>138161.74</v>
      </c>
      <c r="I90" s="12"/>
      <c r="J90" s="12">
        <v>0</v>
      </c>
      <c r="K90" s="12"/>
      <c r="L90" s="12">
        <v>3200.88</v>
      </c>
      <c r="M90" s="12"/>
      <c r="N90" s="12">
        <v>0</v>
      </c>
      <c r="O90" s="12"/>
      <c r="P90" s="12">
        <v>784.15</v>
      </c>
      <c r="Q90" s="12"/>
      <c r="R90" s="12">
        <v>221.01</v>
      </c>
      <c r="S90" s="12"/>
      <c r="T90" s="12">
        <v>1830.15</v>
      </c>
      <c r="U90" s="12"/>
      <c r="V90" s="12">
        <v>0</v>
      </c>
      <c r="W90" s="12"/>
      <c r="X90" s="12">
        <v>0</v>
      </c>
      <c r="Y90" s="12"/>
      <c r="Z90" s="12">
        <v>0</v>
      </c>
      <c r="AA90" s="12"/>
      <c r="AB90" s="12">
        <v>0</v>
      </c>
      <c r="AC90" s="12"/>
      <c r="AD90" s="12">
        <f t="shared" si="1"/>
        <v>144197.93</v>
      </c>
    </row>
    <row r="91" spans="1:30" s="11" customFormat="1" ht="12">
      <c r="A91" s="11" t="s">
        <v>254</v>
      </c>
      <c r="C91" s="11" t="s">
        <v>150</v>
      </c>
      <c r="D91" s="11" t="s">
        <v>18</v>
      </c>
      <c r="F91" s="12">
        <v>0</v>
      </c>
      <c r="G91" s="12"/>
      <c r="H91" s="12">
        <v>571266.79</v>
      </c>
      <c r="I91" s="12"/>
      <c r="J91" s="12">
        <v>0</v>
      </c>
      <c r="K91" s="12"/>
      <c r="L91" s="12">
        <v>21797.03</v>
      </c>
      <c r="M91" s="12"/>
      <c r="N91" s="12">
        <v>0</v>
      </c>
      <c r="O91" s="12"/>
      <c r="P91" s="12">
        <v>8187.99</v>
      </c>
      <c r="Q91" s="12"/>
      <c r="R91" s="12">
        <v>8479.07</v>
      </c>
      <c r="S91" s="12"/>
      <c r="T91" s="12">
        <v>1502.87</v>
      </c>
      <c r="U91" s="12"/>
      <c r="V91" s="12">
        <v>0</v>
      </c>
      <c r="W91" s="12"/>
      <c r="X91" s="12">
        <v>0</v>
      </c>
      <c r="Y91" s="12"/>
      <c r="Z91" s="12">
        <v>0</v>
      </c>
      <c r="AA91" s="12"/>
      <c r="AB91" s="12">
        <v>0</v>
      </c>
      <c r="AC91" s="12"/>
      <c r="AD91" s="12">
        <f t="shared" si="1"/>
        <v>611233.75</v>
      </c>
    </row>
    <row r="92" spans="1:30" s="11" customFormat="1" ht="12">
      <c r="A92" s="11" t="s">
        <v>457</v>
      </c>
      <c r="C92" s="11" t="s">
        <v>136</v>
      </c>
      <c r="D92" s="11" t="s">
        <v>20</v>
      </c>
      <c r="F92" s="12">
        <v>0</v>
      </c>
      <c r="G92" s="12"/>
      <c r="H92" s="12">
        <v>186942.73</v>
      </c>
      <c r="I92" s="12"/>
      <c r="J92" s="12">
        <v>2725.24</v>
      </c>
      <c r="K92" s="12"/>
      <c r="L92" s="12">
        <v>3580.13</v>
      </c>
      <c r="M92" s="12"/>
      <c r="N92" s="12">
        <v>0</v>
      </c>
      <c r="O92" s="12"/>
      <c r="P92" s="12">
        <v>0</v>
      </c>
      <c r="Q92" s="12"/>
      <c r="R92" s="12">
        <v>16623.17</v>
      </c>
      <c r="S92" s="12"/>
      <c r="T92" s="12">
        <v>6600</v>
      </c>
      <c r="U92" s="12"/>
      <c r="V92" s="12">
        <v>0</v>
      </c>
      <c r="W92" s="12"/>
      <c r="X92" s="12">
        <v>0</v>
      </c>
      <c r="Y92" s="12"/>
      <c r="Z92" s="12">
        <v>0</v>
      </c>
      <c r="AA92" s="12"/>
      <c r="AB92" s="12">
        <v>0</v>
      </c>
      <c r="AC92" s="12"/>
      <c r="AD92" s="12">
        <f t="shared" si="1"/>
        <v>216471.27000000002</v>
      </c>
    </row>
    <row r="93" spans="1:30" s="11" customFormat="1" ht="12">
      <c r="A93" s="11" t="s">
        <v>256</v>
      </c>
      <c r="C93" s="11" t="s">
        <v>188</v>
      </c>
      <c r="D93" s="11" t="s">
        <v>25</v>
      </c>
      <c r="F93" s="12">
        <v>783188</v>
      </c>
      <c r="G93" s="12"/>
      <c r="H93" s="12">
        <v>1738583</v>
      </c>
      <c r="I93" s="12"/>
      <c r="J93" s="12">
        <v>0</v>
      </c>
      <c r="K93" s="12"/>
      <c r="L93" s="12">
        <v>76611</v>
      </c>
      <c r="M93" s="12"/>
      <c r="N93" s="12">
        <v>84410</v>
      </c>
      <c r="O93" s="12"/>
      <c r="P93" s="12">
        <v>29252</v>
      </c>
      <c r="Q93" s="12"/>
      <c r="R93" s="12">
        <v>22509</v>
      </c>
      <c r="S93" s="12"/>
      <c r="T93" s="12">
        <v>16240</v>
      </c>
      <c r="U93" s="12"/>
      <c r="V93" s="12">
        <v>0</v>
      </c>
      <c r="W93" s="12"/>
      <c r="X93" s="12">
        <v>0</v>
      </c>
      <c r="Y93" s="12"/>
      <c r="Z93" s="12">
        <v>0</v>
      </c>
      <c r="AA93" s="12"/>
      <c r="AB93" s="12">
        <v>0</v>
      </c>
      <c r="AC93" s="12"/>
      <c r="AD93" s="12">
        <f t="shared" si="1"/>
        <v>2750793</v>
      </c>
    </row>
    <row r="94" spans="1:30" s="11" customFormat="1" ht="12">
      <c r="A94" s="11" t="s">
        <v>257</v>
      </c>
      <c r="C94" s="11" t="s">
        <v>134</v>
      </c>
      <c r="D94" s="11" t="s">
        <v>16</v>
      </c>
      <c r="F94" s="12">
        <v>0</v>
      </c>
      <c r="G94" s="12"/>
      <c r="H94" s="12">
        <v>753135</v>
      </c>
      <c r="I94" s="12"/>
      <c r="J94" s="12">
        <v>0</v>
      </c>
      <c r="K94" s="12"/>
      <c r="L94" s="12">
        <v>35990</v>
      </c>
      <c r="M94" s="12"/>
      <c r="N94" s="12">
        <v>0</v>
      </c>
      <c r="O94" s="12"/>
      <c r="P94" s="12">
        <v>5322</v>
      </c>
      <c r="Q94" s="12"/>
      <c r="R94" s="12">
        <v>54957</v>
      </c>
      <c r="S94" s="12"/>
      <c r="T94" s="12">
        <v>0</v>
      </c>
      <c r="U94" s="12"/>
      <c r="V94" s="12">
        <v>0</v>
      </c>
      <c r="W94" s="12"/>
      <c r="X94" s="12">
        <v>0</v>
      </c>
      <c r="Y94" s="12"/>
      <c r="Z94" s="12">
        <v>0</v>
      </c>
      <c r="AA94" s="12"/>
      <c r="AB94" s="12">
        <v>0</v>
      </c>
      <c r="AC94" s="12"/>
      <c r="AD94" s="12">
        <f t="shared" si="1"/>
        <v>849404</v>
      </c>
    </row>
    <row r="95" spans="1:30" s="11" customFormat="1" ht="12">
      <c r="A95" s="11" t="s">
        <v>258</v>
      </c>
      <c r="C95" s="11" t="s">
        <v>259</v>
      </c>
      <c r="D95" s="11" t="s">
        <v>51</v>
      </c>
      <c r="F95" s="12">
        <v>4067420</v>
      </c>
      <c r="G95" s="12"/>
      <c r="H95" s="12">
        <v>0</v>
      </c>
      <c r="I95" s="12"/>
      <c r="J95" s="12">
        <v>5374459</v>
      </c>
      <c r="K95" s="12"/>
      <c r="L95" s="12">
        <v>214277</v>
      </c>
      <c r="M95" s="12"/>
      <c r="N95" s="12">
        <v>0</v>
      </c>
      <c r="O95" s="12"/>
      <c r="P95" s="12">
        <v>800</v>
      </c>
      <c r="Q95" s="12"/>
      <c r="R95" s="12">
        <v>306323</v>
      </c>
      <c r="S95" s="12"/>
      <c r="T95" s="12">
        <v>52451</v>
      </c>
      <c r="U95" s="12"/>
      <c r="V95" s="12">
        <v>0</v>
      </c>
      <c r="W95" s="12"/>
      <c r="X95" s="12">
        <v>0</v>
      </c>
      <c r="Y95" s="12"/>
      <c r="Z95" s="12">
        <v>0</v>
      </c>
      <c r="AA95" s="12"/>
      <c r="AB95" s="12">
        <v>0</v>
      </c>
      <c r="AC95" s="12"/>
      <c r="AD95" s="12">
        <f t="shared" si="1"/>
        <v>10015730</v>
      </c>
    </row>
    <row r="96" spans="1:30" s="11" customFormat="1" ht="12">
      <c r="A96" s="11" t="s">
        <v>260</v>
      </c>
      <c r="C96" s="11" t="s">
        <v>174</v>
      </c>
      <c r="D96" s="11" t="s">
        <v>86</v>
      </c>
      <c r="F96" s="12">
        <v>0</v>
      </c>
      <c r="G96" s="12"/>
      <c r="H96" s="12">
        <v>953910.16</v>
      </c>
      <c r="I96" s="12"/>
      <c r="J96" s="12">
        <v>0</v>
      </c>
      <c r="K96" s="12"/>
      <c r="L96" s="12">
        <v>18609.5</v>
      </c>
      <c r="M96" s="12"/>
      <c r="N96" s="12">
        <v>0</v>
      </c>
      <c r="O96" s="12"/>
      <c r="P96" s="12">
        <v>117219.63</v>
      </c>
      <c r="Q96" s="12"/>
      <c r="R96" s="12">
        <v>54806.28</v>
      </c>
      <c r="S96" s="12"/>
      <c r="T96" s="12">
        <v>1865.45</v>
      </c>
      <c r="U96" s="12"/>
      <c r="V96" s="12">
        <v>0</v>
      </c>
      <c r="W96" s="12"/>
      <c r="X96" s="12">
        <v>0</v>
      </c>
      <c r="Y96" s="12"/>
      <c r="Z96" s="12">
        <v>0</v>
      </c>
      <c r="AA96" s="12"/>
      <c r="AB96" s="12">
        <v>0</v>
      </c>
      <c r="AC96" s="12"/>
      <c r="AD96" s="12">
        <f t="shared" si="1"/>
        <v>1146411.02</v>
      </c>
    </row>
    <row r="97" spans="1:30" s="11" customFormat="1" ht="12">
      <c r="A97" s="11" t="s">
        <v>261</v>
      </c>
      <c r="C97" s="11" t="s">
        <v>262</v>
      </c>
      <c r="D97" s="11" t="s">
        <v>52</v>
      </c>
      <c r="F97" s="12">
        <v>0</v>
      </c>
      <c r="G97" s="12"/>
      <c r="H97" s="12">
        <v>1485654</v>
      </c>
      <c r="I97" s="12"/>
      <c r="J97" s="12">
        <v>0</v>
      </c>
      <c r="K97" s="12"/>
      <c r="L97" s="12">
        <v>26275</v>
      </c>
      <c r="M97" s="12"/>
      <c r="N97" s="12">
        <v>0</v>
      </c>
      <c r="O97" s="12"/>
      <c r="P97" s="12">
        <v>1453</v>
      </c>
      <c r="Q97" s="12"/>
      <c r="R97" s="12">
        <v>95981</v>
      </c>
      <c r="S97" s="12"/>
      <c r="T97" s="12">
        <v>4914</v>
      </c>
      <c r="U97" s="12"/>
      <c r="V97" s="12">
        <v>276971</v>
      </c>
      <c r="W97" s="12"/>
      <c r="X97" s="12">
        <v>0</v>
      </c>
      <c r="Y97" s="12"/>
      <c r="Z97" s="12">
        <v>0</v>
      </c>
      <c r="AA97" s="12"/>
      <c r="AB97" s="12">
        <v>0</v>
      </c>
      <c r="AC97" s="12"/>
      <c r="AD97" s="12">
        <f t="shared" si="1"/>
        <v>1891248</v>
      </c>
    </row>
    <row r="98" spans="1:30" s="11" customFormat="1" ht="12">
      <c r="A98" s="11" t="s">
        <v>263</v>
      </c>
      <c r="C98" s="11" t="s">
        <v>136</v>
      </c>
      <c r="D98" s="11" t="s">
        <v>20</v>
      </c>
      <c r="F98" s="12">
        <v>0</v>
      </c>
      <c r="G98" s="12"/>
      <c r="H98" s="12">
        <v>414419.95</v>
      </c>
      <c r="I98" s="12"/>
      <c r="J98" s="12">
        <v>14314.08</v>
      </c>
      <c r="K98" s="12"/>
      <c r="L98" s="12">
        <v>18314.62</v>
      </c>
      <c r="M98" s="12"/>
      <c r="N98" s="12">
        <v>0</v>
      </c>
      <c r="O98" s="12"/>
      <c r="P98" s="12">
        <v>0</v>
      </c>
      <c r="Q98" s="12"/>
      <c r="R98" s="12">
        <v>2268.19</v>
      </c>
      <c r="S98" s="12"/>
      <c r="T98" s="12">
        <v>0</v>
      </c>
      <c r="U98" s="12"/>
      <c r="V98" s="12">
        <v>0</v>
      </c>
      <c r="W98" s="12"/>
      <c r="X98" s="12">
        <v>0</v>
      </c>
      <c r="Y98" s="12"/>
      <c r="Z98" s="12">
        <v>0</v>
      </c>
      <c r="AA98" s="12"/>
      <c r="AB98" s="12">
        <v>0</v>
      </c>
      <c r="AC98" s="12"/>
      <c r="AD98" s="12">
        <f t="shared" si="1"/>
        <v>449316.84</v>
      </c>
    </row>
    <row r="99" spans="1:30" s="11" customFormat="1" ht="12">
      <c r="A99" s="11" t="s">
        <v>264</v>
      </c>
      <c r="C99" s="11" t="s">
        <v>154</v>
      </c>
      <c r="D99" s="11" t="s">
        <v>53</v>
      </c>
      <c r="F99" s="12">
        <v>0</v>
      </c>
      <c r="G99" s="12"/>
      <c r="H99" s="12">
        <v>80462</v>
      </c>
      <c r="I99" s="12"/>
      <c r="J99" s="12">
        <v>0</v>
      </c>
      <c r="K99" s="12"/>
      <c r="L99" s="12">
        <v>1650</v>
      </c>
      <c r="M99" s="12"/>
      <c r="N99" s="12">
        <v>0</v>
      </c>
      <c r="O99" s="12"/>
      <c r="P99" s="12">
        <v>720</v>
      </c>
      <c r="Q99" s="12"/>
      <c r="R99" s="12">
        <v>2128</v>
      </c>
      <c r="S99" s="12"/>
      <c r="T99" s="12">
        <v>520</v>
      </c>
      <c r="U99" s="12"/>
      <c r="V99" s="12">
        <v>0</v>
      </c>
      <c r="W99" s="12"/>
      <c r="X99" s="12">
        <v>0</v>
      </c>
      <c r="Y99" s="12"/>
      <c r="Z99" s="12">
        <v>0</v>
      </c>
      <c r="AA99" s="12"/>
      <c r="AB99" s="12">
        <v>0</v>
      </c>
      <c r="AC99" s="12"/>
      <c r="AD99" s="12">
        <f t="shared" si="1"/>
        <v>85480</v>
      </c>
    </row>
    <row r="100" spans="1:30" s="11" customFormat="1" ht="12">
      <c r="A100" s="11" t="s">
        <v>265</v>
      </c>
      <c r="C100" s="11" t="s">
        <v>266</v>
      </c>
      <c r="D100" s="11" t="s">
        <v>54</v>
      </c>
      <c r="F100" s="12">
        <v>469942</v>
      </c>
      <c r="G100" s="12"/>
      <c r="H100" s="12">
        <v>0</v>
      </c>
      <c r="I100" s="12"/>
      <c r="J100" s="12">
        <v>0</v>
      </c>
      <c r="K100" s="12"/>
      <c r="L100" s="12">
        <v>13200</v>
      </c>
      <c r="M100" s="12"/>
      <c r="N100" s="12">
        <v>0</v>
      </c>
      <c r="O100" s="12"/>
      <c r="P100" s="12">
        <v>0</v>
      </c>
      <c r="Q100" s="12"/>
      <c r="R100" s="12">
        <v>9138</v>
      </c>
      <c r="S100" s="12"/>
      <c r="T100" s="12">
        <v>0</v>
      </c>
      <c r="U100" s="12"/>
      <c r="V100" s="12">
        <v>0</v>
      </c>
      <c r="W100" s="12"/>
      <c r="X100" s="12">
        <v>30000</v>
      </c>
      <c r="Y100" s="12"/>
      <c r="Z100" s="12">
        <v>0</v>
      </c>
      <c r="AA100" s="12"/>
      <c r="AB100" s="12">
        <v>0</v>
      </c>
      <c r="AC100" s="12"/>
      <c r="AD100" s="12">
        <f t="shared" si="1"/>
        <v>522280</v>
      </c>
    </row>
    <row r="101" spans="1:30" s="11" customFormat="1" ht="12">
      <c r="A101" s="11" t="s">
        <v>458</v>
      </c>
      <c r="C101" s="11" t="s">
        <v>136</v>
      </c>
      <c r="D101" s="11" t="s">
        <v>20</v>
      </c>
      <c r="F101" s="12">
        <v>0</v>
      </c>
      <c r="G101" s="12"/>
      <c r="H101" s="12">
        <v>315441.73</v>
      </c>
      <c r="I101" s="12"/>
      <c r="J101" s="12">
        <v>28436.88</v>
      </c>
      <c r="K101" s="12"/>
      <c r="L101" s="12">
        <v>21678.15</v>
      </c>
      <c r="M101" s="12"/>
      <c r="N101" s="12">
        <v>0</v>
      </c>
      <c r="O101" s="12"/>
      <c r="P101" s="12">
        <v>22107.98</v>
      </c>
      <c r="Q101" s="12"/>
      <c r="R101" s="12">
        <v>2142.06</v>
      </c>
      <c r="S101" s="12"/>
      <c r="T101" s="12">
        <v>1734.33</v>
      </c>
      <c r="U101" s="12"/>
      <c r="V101" s="12">
        <v>22823.7</v>
      </c>
      <c r="W101" s="12"/>
      <c r="X101" s="12">
        <v>0</v>
      </c>
      <c r="Y101" s="12"/>
      <c r="Z101" s="12">
        <v>8000</v>
      </c>
      <c r="AA101" s="12"/>
      <c r="AB101" s="12">
        <v>0</v>
      </c>
      <c r="AC101" s="12"/>
      <c r="AD101" s="12">
        <f t="shared" si="1"/>
        <v>422364.83</v>
      </c>
    </row>
    <row r="102" spans="1:30" s="11" customFormat="1" ht="12">
      <c r="A102" s="11" t="s">
        <v>268</v>
      </c>
      <c r="C102" s="11" t="s">
        <v>269</v>
      </c>
      <c r="D102" s="11" t="s">
        <v>56</v>
      </c>
      <c r="F102" s="12">
        <v>36583</v>
      </c>
      <c r="G102" s="12"/>
      <c r="H102" s="12">
        <v>433976</v>
      </c>
      <c r="I102" s="12"/>
      <c r="J102" s="12">
        <v>2962</v>
      </c>
      <c r="K102" s="12"/>
      <c r="L102" s="12">
        <v>8025</v>
      </c>
      <c r="M102" s="12"/>
      <c r="N102" s="12">
        <v>0</v>
      </c>
      <c r="O102" s="12"/>
      <c r="P102" s="12">
        <v>45455</v>
      </c>
      <c r="Q102" s="12"/>
      <c r="R102" s="12">
        <v>61772</v>
      </c>
      <c r="S102" s="12"/>
      <c r="T102" s="12">
        <v>1113</v>
      </c>
      <c r="U102" s="12"/>
      <c r="V102" s="12">
        <v>0</v>
      </c>
      <c r="W102" s="12"/>
      <c r="X102" s="12">
        <v>0</v>
      </c>
      <c r="Y102" s="12"/>
      <c r="Z102" s="12">
        <v>0</v>
      </c>
      <c r="AA102" s="12"/>
      <c r="AB102" s="12">
        <v>0</v>
      </c>
      <c r="AC102" s="12"/>
      <c r="AD102" s="12">
        <f t="shared" si="1"/>
        <v>589886</v>
      </c>
    </row>
    <row r="103" spans="1:30" s="11" customFormat="1" ht="12">
      <c r="A103" s="11" t="s">
        <v>129</v>
      </c>
      <c r="C103" s="11" t="s">
        <v>150</v>
      </c>
      <c r="D103" s="11" t="s">
        <v>18</v>
      </c>
      <c r="F103" s="12">
        <v>0</v>
      </c>
      <c r="G103" s="12"/>
      <c r="H103" s="12">
        <v>406881.54</v>
      </c>
      <c r="I103" s="12"/>
      <c r="J103" s="12">
        <v>0</v>
      </c>
      <c r="K103" s="12"/>
      <c r="L103" s="12">
        <v>14821.78</v>
      </c>
      <c r="M103" s="12"/>
      <c r="N103" s="12">
        <v>0</v>
      </c>
      <c r="O103" s="12"/>
      <c r="P103" s="12">
        <v>14787.23</v>
      </c>
      <c r="Q103" s="12"/>
      <c r="R103" s="12">
        <v>8942.56</v>
      </c>
      <c r="S103" s="12"/>
      <c r="T103" s="12">
        <v>329.12</v>
      </c>
      <c r="U103" s="12"/>
      <c r="V103" s="12">
        <v>0</v>
      </c>
      <c r="W103" s="12"/>
      <c r="X103" s="12">
        <v>0</v>
      </c>
      <c r="Y103" s="12"/>
      <c r="Z103" s="12">
        <v>0</v>
      </c>
      <c r="AA103" s="12"/>
      <c r="AB103" s="12">
        <v>0</v>
      </c>
      <c r="AC103" s="12"/>
      <c r="AD103" s="12">
        <f t="shared" si="1"/>
        <v>445762.23</v>
      </c>
    </row>
    <row r="104" spans="1:30" s="11" customFormat="1" ht="12">
      <c r="A104" s="11" t="s">
        <v>270</v>
      </c>
      <c r="C104" s="11" t="s">
        <v>151</v>
      </c>
      <c r="D104" s="11" t="s">
        <v>93</v>
      </c>
      <c r="F104" s="12">
        <v>0</v>
      </c>
      <c r="G104" s="12"/>
      <c r="H104" s="12">
        <v>0</v>
      </c>
      <c r="I104" s="12"/>
      <c r="J104" s="12">
        <v>2170.42</v>
      </c>
      <c r="K104" s="12"/>
      <c r="L104" s="12">
        <v>65770.53</v>
      </c>
      <c r="M104" s="12"/>
      <c r="N104" s="12">
        <v>0</v>
      </c>
      <c r="O104" s="12"/>
      <c r="P104" s="12">
        <v>41924.4</v>
      </c>
      <c r="Q104" s="12"/>
      <c r="R104" s="12">
        <v>144028.25</v>
      </c>
      <c r="S104" s="12"/>
      <c r="T104" s="12">
        <v>1947.45</v>
      </c>
      <c r="U104" s="12"/>
      <c r="V104" s="12">
        <v>94000</v>
      </c>
      <c r="W104" s="12"/>
      <c r="X104" s="12">
        <v>0</v>
      </c>
      <c r="Y104" s="12"/>
      <c r="Z104" s="12">
        <v>0</v>
      </c>
      <c r="AA104" s="12"/>
      <c r="AB104" s="12">
        <v>0</v>
      </c>
      <c r="AC104" s="12"/>
      <c r="AD104" s="12">
        <f t="shared" si="1"/>
        <v>349841.05000000005</v>
      </c>
    </row>
    <row r="105" spans="1:30" s="11" customFormat="1" ht="12">
      <c r="A105" s="11" t="s">
        <v>271</v>
      </c>
      <c r="C105" s="11" t="s">
        <v>153</v>
      </c>
      <c r="D105" s="11" t="s">
        <v>12</v>
      </c>
      <c r="F105" s="12">
        <v>124390</v>
      </c>
      <c r="G105" s="12"/>
      <c r="H105" s="12">
        <v>0</v>
      </c>
      <c r="I105" s="12"/>
      <c r="J105" s="12">
        <v>0</v>
      </c>
      <c r="K105" s="12"/>
      <c r="L105" s="12">
        <v>346</v>
      </c>
      <c r="M105" s="12"/>
      <c r="N105" s="12">
        <v>0</v>
      </c>
      <c r="O105" s="12"/>
      <c r="P105" s="12">
        <v>90</v>
      </c>
      <c r="Q105" s="12"/>
      <c r="R105" s="12">
        <v>3581</v>
      </c>
      <c r="S105" s="12"/>
      <c r="T105" s="12">
        <v>745</v>
      </c>
      <c r="U105" s="12"/>
      <c r="V105" s="12">
        <v>0</v>
      </c>
      <c r="W105" s="12"/>
      <c r="X105" s="12">
        <v>0</v>
      </c>
      <c r="Y105" s="12"/>
      <c r="Z105" s="12">
        <v>0</v>
      </c>
      <c r="AA105" s="12"/>
      <c r="AB105" s="12">
        <v>0</v>
      </c>
      <c r="AC105" s="12"/>
      <c r="AD105" s="12">
        <f t="shared" si="1"/>
        <v>129152</v>
      </c>
    </row>
    <row r="106" spans="1:30" s="11" customFormat="1" ht="12">
      <c r="A106" s="11" t="s">
        <v>459</v>
      </c>
      <c r="C106" s="11" t="s">
        <v>273</v>
      </c>
      <c r="D106" s="11" t="s">
        <v>94</v>
      </c>
      <c r="F106" s="12">
        <v>0</v>
      </c>
      <c r="G106" s="12"/>
      <c r="H106" s="12">
        <v>1277620.2</v>
      </c>
      <c r="I106" s="12"/>
      <c r="J106" s="12">
        <v>0</v>
      </c>
      <c r="K106" s="12"/>
      <c r="L106" s="12">
        <v>30179.78</v>
      </c>
      <c r="M106" s="12"/>
      <c r="N106" s="12">
        <v>0</v>
      </c>
      <c r="O106" s="12"/>
      <c r="P106" s="12">
        <v>0</v>
      </c>
      <c r="Q106" s="12"/>
      <c r="R106" s="12">
        <v>7534.05</v>
      </c>
      <c r="S106" s="12"/>
      <c r="T106" s="12">
        <v>1808.87</v>
      </c>
      <c r="U106" s="12"/>
      <c r="V106" s="12">
        <v>11153.5</v>
      </c>
      <c r="W106" s="12"/>
      <c r="X106" s="12">
        <v>0</v>
      </c>
      <c r="Y106" s="12"/>
      <c r="Z106" s="12">
        <v>0</v>
      </c>
      <c r="AA106" s="12"/>
      <c r="AB106" s="12">
        <v>0</v>
      </c>
      <c r="AC106" s="12"/>
      <c r="AD106" s="12">
        <f t="shared" si="1"/>
        <v>1328296.4000000001</v>
      </c>
    </row>
    <row r="107" spans="1:30" s="11" customFormat="1" ht="12">
      <c r="A107" s="11" t="s">
        <v>460</v>
      </c>
      <c r="C107" s="11" t="s">
        <v>134</v>
      </c>
      <c r="D107" s="11" t="s">
        <v>16</v>
      </c>
      <c r="F107" s="12">
        <v>0</v>
      </c>
      <c r="G107" s="12"/>
      <c r="H107" s="12">
        <v>225940.57</v>
      </c>
      <c r="I107" s="12"/>
      <c r="J107" s="12">
        <v>0</v>
      </c>
      <c r="K107" s="12"/>
      <c r="L107" s="12">
        <v>2740.22</v>
      </c>
      <c r="M107" s="12"/>
      <c r="N107" s="12">
        <v>0</v>
      </c>
      <c r="O107" s="12"/>
      <c r="P107" s="12">
        <v>1982.37</v>
      </c>
      <c r="Q107" s="12"/>
      <c r="R107" s="12">
        <v>6728.99</v>
      </c>
      <c r="S107" s="12"/>
      <c r="T107" s="12">
        <v>500</v>
      </c>
      <c r="U107" s="12"/>
      <c r="V107" s="12">
        <v>150</v>
      </c>
      <c r="W107" s="12"/>
      <c r="X107" s="12">
        <v>0</v>
      </c>
      <c r="Y107" s="12"/>
      <c r="Z107" s="12">
        <v>0</v>
      </c>
      <c r="AA107" s="12"/>
      <c r="AB107" s="12">
        <v>0</v>
      </c>
      <c r="AC107" s="12"/>
      <c r="AD107" s="12">
        <f t="shared" si="1"/>
        <v>238042.15</v>
      </c>
    </row>
    <row r="108" spans="1:30" s="11" customFormat="1" ht="12">
      <c r="A108" s="11" t="s">
        <v>275</v>
      </c>
      <c r="C108" s="11" t="s">
        <v>149</v>
      </c>
      <c r="D108" s="11" t="s">
        <v>29</v>
      </c>
      <c r="F108" s="12">
        <v>0</v>
      </c>
      <c r="G108" s="12"/>
      <c r="H108" s="12">
        <v>850106.23</v>
      </c>
      <c r="I108" s="12"/>
      <c r="J108" s="12">
        <v>0</v>
      </c>
      <c r="K108" s="12"/>
      <c r="L108" s="12">
        <v>19663.79</v>
      </c>
      <c r="M108" s="12"/>
      <c r="N108" s="12">
        <v>0</v>
      </c>
      <c r="O108" s="12"/>
      <c r="P108" s="12">
        <v>73622.95</v>
      </c>
      <c r="Q108" s="12"/>
      <c r="R108" s="12">
        <v>25369.26</v>
      </c>
      <c r="S108" s="12"/>
      <c r="T108" s="12">
        <v>688.72</v>
      </c>
      <c r="U108" s="12"/>
      <c r="V108" s="12">
        <v>0</v>
      </c>
      <c r="W108" s="12"/>
      <c r="X108" s="12">
        <v>0</v>
      </c>
      <c r="Y108" s="12"/>
      <c r="Z108" s="12">
        <v>0</v>
      </c>
      <c r="AA108" s="12"/>
      <c r="AB108" s="12">
        <v>0</v>
      </c>
      <c r="AC108" s="12"/>
      <c r="AD108" s="12">
        <f t="shared" si="1"/>
        <v>969450.95</v>
      </c>
    </row>
    <row r="109" spans="1:30" s="11" customFormat="1" ht="12">
      <c r="A109" s="11" t="s">
        <v>276</v>
      </c>
      <c r="C109" s="11" t="s">
        <v>113</v>
      </c>
      <c r="D109" s="11" t="s">
        <v>17</v>
      </c>
      <c r="F109" s="12">
        <v>764531</v>
      </c>
      <c r="G109" s="12"/>
      <c r="H109" s="12">
        <v>923274</v>
      </c>
      <c r="I109" s="12"/>
      <c r="J109" s="12">
        <v>0</v>
      </c>
      <c r="K109" s="12"/>
      <c r="L109" s="12">
        <v>73484</v>
      </c>
      <c r="M109" s="12"/>
      <c r="N109" s="12">
        <v>7097</v>
      </c>
      <c r="O109" s="12"/>
      <c r="P109" s="12">
        <v>0</v>
      </c>
      <c r="Q109" s="12"/>
      <c r="R109" s="12">
        <v>12758</v>
      </c>
      <c r="S109" s="12"/>
      <c r="T109" s="12">
        <v>875</v>
      </c>
      <c r="U109" s="12"/>
      <c r="V109" s="12">
        <v>0</v>
      </c>
      <c r="W109" s="12"/>
      <c r="X109" s="12">
        <v>0</v>
      </c>
      <c r="Y109" s="12"/>
      <c r="Z109" s="12">
        <v>0</v>
      </c>
      <c r="AA109" s="12"/>
      <c r="AB109" s="12">
        <v>0</v>
      </c>
      <c r="AC109" s="12"/>
      <c r="AD109" s="12">
        <f t="shared" si="1"/>
        <v>1782019</v>
      </c>
    </row>
    <row r="110" spans="1:30" s="11" customFormat="1" ht="12">
      <c r="A110" s="11" t="s">
        <v>277</v>
      </c>
      <c r="C110" s="11" t="s">
        <v>278</v>
      </c>
      <c r="D110" s="11" t="s">
        <v>57</v>
      </c>
      <c r="F110" s="12">
        <v>283435</v>
      </c>
      <c r="G110" s="12"/>
      <c r="H110" s="12">
        <v>395283</v>
      </c>
      <c r="I110" s="12"/>
      <c r="J110" s="12">
        <v>0</v>
      </c>
      <c r="K110" s="12"/>
      <c r="L110" s="12">
        <v>32112</v>
      </c>
      <c r="M110" s="12"/>
      <c r="N110" s="12">
        <v>0</v>
      </c>
      <c r="O110" s="12"/>
      <c r="P110" s="12">
        <v>4248</v>
      </c>
      <c r="Q110" s="12"/>
      <c r="R110" s="12">
        <v>19474</v>
      </c>
      <c r="S110" s="12"/>
      <c r="T110" s="12">
        <v>8035</v>
      </c>
      <c r="U110" s="12"/>
      <c r="V110" s="12">
        <v>0</v>
      </c>
      <c r="W110" s="12"/>
      <c r="X110" s="12">
        <v>0</v>
      </c>
      <c r="Y110" s="12"/>
      <c r="Z110" s="12">
        <v>0</v>
      </c>
      <c r="AA110" s="12"/>
      <c r="AB110" s="12">
        <v>0</v>
      </c>
      <c r="AC110" s="12"/>
      <c r="AD110" s="12">
        <f t="shared" si="1"/>
        <v>742587</v>
      </c>
    </row>
    <row r="111" spans="1:30" s="11" customFormat="1" ht="12">
      <c r="A111" s="11" t="s">
        <v>130</v>
      </c>
      <c r="C111" s="11" t="s">
        <v>103</v>
      </c>
      <c r="D111" s="11" t="s">
        <v>61</v>
      </c>
      <c r="F111" s="12">
        <v>0</v>
      </c>
      <c r="G111" s="12"/>
      <c r="H111" s="12">
        <v>376566.45</v>
      </c>
      <c r="I111" s="12"/>
      <c r="J111" s="12">
        <v>0</v>
      </c>
      <c r="K111" s="12"/>
      <c r="L111" s="12">
        <v>8683.51</v>
      </c>
      <c r="M111" s="12"/>
      <c r="N111" s="12">
        <v>0</v>
      </c>
      <c r="O111" s="12"/>
      <c r="P111" s="12">
        <v>26470.96</v>
      </c>
      <c r="Q111" s="12"/>
      <c r="R111" s="12">
        <v>9285.87</v>
      </c>
      <c r="S111" s="12"/>
      <c r="T111" s="12">
        <v>2662.96</v>
      </c>
      <c r="U111" s="12"/>
      <c r="V111" s="12">
        <v>0</v>
      </c>
      <c r="W111" s="12"/>
      <c r="X111" s="12">
        <v>0</v>
      </c>
      <c r="Y111" s="12"/>
      <c r="Z111" s="12">
        <v>0</v>
      </c>
      <c r="AA111" s="12"/>
      <c r="AB111" s="12">
        <v>0</v>
      </c>
      <c r="AC111" s="12"/>
      <c r="AD111" s="12">
        <f t="shared" si="1"/>
        <v>423669.75000000006</v>
      </c>
    </row>
    <row r="112" spans="1:30" s="11" customFormat="1" ht="12">
      <c r="A112" s="11" t="s">
        <v>279</v>
      </c>
      <c r="C112" s="11" t="s">
        <v>266</v>
      </c>
      <c r="D112" s="11" t="s">
        <v>54</v>
      </c>
      <c r="F112" s="12">
        <v>783236</v>
      </c>
      <c r="G112" s="12"/>
      <c r="H112" s="12">
        <v>304</v>
      </c>
      <c r="I112" s="12"/>
      <c r="J112" s="12">
        <v>0</v>
      </c>
      <c r="K112" s="12"/>
      <c r="L112" s="12">
        <v>21961</v>
      </c>
      <c r="M112" s="12"/>
      <c r="N112" s="12">
        <v>0</v>
      </c>
      <c r="O112" s="12"/>
      <c r="P112" s="12">
        <v>23661</v>
      </c>
      <c r="Q112" s="12"/>
      <c r="R112" s="12">
        <v>19897</v>
      </c>
      <c r="S112" s="12"/>
      <c r="T112" s="12">
        <v>1850</v>
      </c>
      <c r="U112" s="12"/>
      <c r="V112" s="12">
        <v>0</v>
      </c>
      <c r="W112" s="12"/>
      <c r="X112" s="12">
        <v>0</v>
      </c>
      <c r="Y112" s="12"/>
      <c r="Z112" s="12">
        <v>0</v>
      </c>
      <c r="AA112" s="12"/>
      <c r="AB112" s="12">
        <v>0</v>
      </c>
      <c r="AC112" s="12"/>
      <c r="AD112" s="12">
        <f t="shared" si="1"/>
        <v>850909</v>
      </c>
    </row>
    <row r="113" spans="1:30" s="11" customFormat="1" ht="12">
      <c r="A113" s="11" t="s">
        <v>280</v>
      </c>
      <c r="C113" s="11" t="s">
        <v>146</v>
      </c>
      <c r="D113" s="11" t="s">
        <v>82</v>
      </c>
      <c r="F113" s="12">
        <v>0</v>
      </c>
      <c r="G113" s="12"/>
      <c r="H113" s="12">
        <v>276661.02</v>
      </c>
      <c r="I113" s="12"/>
      <c r="J113" s="12">
        <v>0</v>
      </c>
      <c r="K113" s="12"/>
      <c r="L113" s="12">
        <v>4433.14</v>
      </c>
      <c r="M113" s="12"/>
      <c r="N113" s="12">
        <v>0</v>
      </c>
      <c r="O113" s="12"/>
      <c r="P113" s="12">
        <v>2534.31</v>
      </c>
      <c r="Q113" s="12"/>
      <c r="R113" s="12">
        <v>24831.73</v>
      </c>
      <c r="S113" s="12"/>
      <c r="T113" s="12">
        <v>2600.48</v>
      </c>
      <c r="U113" s="12"/>
      <c r="V113" s="12">
        <v>125</v>
      </c>
      <c r="W113" s="12"/>
      <c r="X113" s="12">
        <v>0</v>
      </c>
      <c r="Y113" s="12"/>
      <c r="Z113" s="12">
        <v>0</v>
      </c>
      <c r="AA113" s="12"/>
      <c r="AB113" s="12">
        <v>0</v>
      </c>
      <c r="AC113" s="12"/>
      <c r="AD113" s="12">
        <f t="shared" si="1"/>
        <v>311185.68</v>
      </c>
    </row>
    <row r="114" spans="1:30" s="11" customFormat="1" ht="12">
      <c r="A114" s="11" t="s">
        <v>281</v>
      </c>
      <c r="C114" s="11" t="s">
        <v>282</v>
      </c>
      <c r="D114" s="11" t="s">
        <v>72</v>
      </c>
      <c r="F114" s="12">
        <v>0</v>
      </c>
      <c r="G114" s="12"/>
      <c r="H114" s="12">
        <v>490220.61</v>
      </c>
      <c r="I114" s="12"/>
      <c r="J114" s="12">
        <v>0</v>
      </c>
      <c r="K114" s="12"/>
      <c r="L114" s="12">
        <v>14384.8</v>
      </c>
      <c r="M114" s="12"/>
      <c r="N114" s="12">
        <v>0</v>
      </c>
      <c r="O114" s="12"/>
      <c r="P114" s="12">
        <v>8694.51</v>
      </c>
      <c r="Q114" s="12"/>
      <c r="R114" s="12">
        <v>16381.74</v>
      </c>
      <c r="S114" s="12"/>
      <c r="T114" s="12">
        <v>4483.57</v>
      </c>
      <c r="U114" s="12"/>
      <c r="V114" s="12">
        <v>1479.5</v>
      </c>
      <c r="W114" s="12"/>
      <c r="X114" s="12">
        <v>0</v>
      </c>
      <c r="Y114" s="12"/>
      <c r="Z114" s="12">
        <v>0</v>
      </c>
      <c r="AA114" s="12"/>
      <c r="AB114" s="12">
        <v>0</v>
      </c>
      <c r="AC114" s="12"/>
      <c r="AD114" s="12">
        <f t="shared" si="1"/>
        <v>535644.73</v>
      </c>
    </row>
    <row r="115" spans="1:30" s="11" customFormat="1" ht="12">
      <c r="A115" s="11" t="s">
        <v>283</v>
      </c>
      <c r="C115" s="11" t="s">
        <v>152</v>
      </c>
      <c r="D115" s="11" t="s">
        <v>95</v>
      </c>
      <c r="F115" s="12">
        <v>0</v>
      </c>
      <c r="G115" s="12"/>
      <c r="H115" s="12">
        <v>529470.04</v>
      </c>
      <c r="I115" s="12"/>
      <c r="J115" s="12">
        <v>0</v>
      </c>
      <c r="K115" s="12"/>
      <c r="L115" s="12">
        <v>14640.83</v>
      </c>
      <c r="M115" s="12"/>
      <c r="N115" s="12">
        <v>0</v>
      </c>
      <c r="O115" s="12"/>
      <c r="P115" s="12">
        <v>1472.56</v>
      </c>
      <c r="Q115" s="12"/>
      <c r="R115" s="12">
        <v>21578.62</v>
      </c>
      <c r="S115" s="12"/>
      <c r="T115" s="12">
        <v>11497.97</v>
      </c>
      <c r="U115" s="12"/>
      <c r="V115" s="12">
        <v>0</v>
      </c>
      <c r="W115" s="12"/>
      <c r="X115" s="12">
        <v>0</v>
      </c>
      <c r="Y115" s="12"/>
      <c r="Z115" s="12">
        <v>0</v>
      </c>
      <c r="AA115" s="12"/>
      <c r="AB115" s="12">
        <v>0</v>
      </c>
      <c r="AC115" s="12"/>
      <c r="AD115" s="12">
        <f t="shared" si="1"/>
        <v>578660.02</v>
      </c>
    </row>
    <row r="116" spans="1:30" s="11" customFormat="1" ht="12">
      <c r="A116" s="11" t="s">
        <v>284</v>
      </c>
      <c r="C116" s="11" t="s">
        <v>138</v>
      </c>
      <c r="D116" s="11" t="s">
        <v>24</v>
      </c>
      <c r="F116" s="12">
        <v>697974</v>
      </c>
      <c r="G116" s="12"/>
      <c r="H116" s="12">
        <v>0</v>
      </c>
      <c r="I116" s="12"/>
      <c r="J116" s="12">
        <v>30000</v>
      </c>
      <c r="K116" s="12"/>
      <c r="L116" s="12">
        <v>12918</v>
      </c>
      <c r="M116" s="12"/>
      <c r="N116" s="12">
        <v>0</v>
      </c>
      <c r="O116" s="12"/>
      <c r="P116" s="12">
        <v>0</v>
      </c>
      <c r="Q116" s="12"/>
      <c r="R116" s="12">
        <v>18360</v>
      </c>
      <c r="S116" s="12"/>
      <c r="T116" s="12">
        <v>27408</v>
      </c>
      <c r="U116" s="12"/>
      <c r="V116" s="12">
        <v>2100</v>
      </c>
      <c r="W116" s="12"/>
      <c r="X116" s="12">
        <v>0</v>
      </c>
      <c r="Y116" s="12"/>
      <c r="Z116" s="12">
        <v>0</v>
      </c>
      <c r="AA116" s="12"/>
      <c r="AB116" s="12">
        <v>0</v>
      </c>
      <c r="AC116" s="12"/>
      <c r="AD116" s="12">
        <f t="shared" si="1"/>
        <v>788760</v>
      </c>
    </row>
    <row r="117" spans="1:30" s="11" customFormat="1" ht="12">
      <c r="A117" s="11" t="s">
        <v>285</v>
      </c>
      <c r="C117" s="11" t="s">
        <v>286</v>
      </c>
      <c r="D117" s="11" t="s">
        <v>76</v>
      </c>
      <c r="F117" s="12">
        <v>0</v>
      </c>
      <c r="G117" s="12"/>
      <c r="H117" s="12">
        <v>1627942.96</v>
      </c>
      <c r="I117" s="12"/>
      <c r="J117" s="12">
        <v>2280.72</v>
      </c>
      <c r="K117" s="12"/>
      <c r="L117" s="12">
        <v>28590.86</v>
      </c>
      <c r="M117" s="12"/>
      <c r="N117" s="12">
        <v>0</v>
      </c>
      <c r="O117" s="12"/>
      <c r="P117" s="12">
        <v>50</v>
      </c>
      <c r="Q117" s="12"/>
      <c r="R117" s="12">
        <v>162501.74</v>
      </c>
      <c r="S117" s="12"/>
      <c r="T117" s="12">
        <v>5207.36</v>
      </c>
      <c r="U117" s="12"/>
      <c r="V117" s="12">
        <v>0</v>
      </c>
      <c r="W117" s="12"/>
      <c r="X117" s="12">
        <v>0</v>
      </c>
      <c r="Y117" s="12"/>
      <c r="Z117" s="12">
        <v>0</v>
      </c>
      <c r="AA117" s="12"/>
      <c r="AB117" s="12">
        <v>0</v>
      </c>
      <c r="AC117" s="12"/>
      <c r="AD117" s="12">
        <f t="shared" si="1"/>
        <v>1826573.6400000001</v>
      </c>
    </row>
    <row r="118" spans="1:30" s="11" customFormat="1" ht="12">
      <c r="A118" s="11" t="s">
        <v>287</v>
      </c>
      <c r="C118" s="11" t="s">
        <v>136</v>
      </c>
      <c r="D118" s="11" t="s">
        <v>20</v>
      </c>
      <c r="F118" s="12">
        <v>0</v>
      </c>
      <c r="G118" s="12"/>
      <c r="H118" s="12">
        <v>261151.6</v>
      </c>
      <c r="I118" s="12"/>
      <c r="J118" s="12">
        <v>17667.93</v>
      </c>
      <c r="K118" s="12"/>
      <c r="L118" s="12">
        <v>6701.9</v>
      </c>
      <c r="M118" s="12"/>
      <c r="N118" s="12">
        <v>1049.8</v>
      </c>
      <c r="O118" s="12"/>
      <c r="P118" s="12">
        <v>10025</v>
      </c>
      <c r="Q118" s="12"/>
      <c r="R118" s="12">
        <v>188.1</v>
      </c>
      <c r="S118" s="12"/>
      <c r="T118" s="12">
        <v>1633.12</v>
      </c>
      <c r="U118" s="12"/>
      <c r="V118" s="12">
        <v>0</v>
      </c>
      <c r="W118" s="12"/>
      <c r="X118" s="12">
        <v>0</v>
      </c>
      <c r="Y118" s="12"/>
      <c r="Z118" s="12">
        <v>0</v>
      </c>
      <c r="AA118" s="12"/>
      <c r="AB118" s="12">
        <v>0</v>
      </c>
      <c r="AC118" s="12"/>
      <c r="AD118" s="12">
        <f t="shared" si="1"/>
        <v>298417.45</v>
      </c>
    </row>
    <row r="119" spans="1:30" s="11" customFormat="1" ht="12">
      <c r="A119" s="11" t="s">
        <v>288</v>
      </c>
      <c r="C119" s="11" t="s">
        <v>149</v>
      </c>
      <c r="D119" s="11" t="s">
        <v>29</v>
      </c>
      <c r="F119" s="12">
        <v>0</v>
      </c>
      <c r="G119" s="12"/>
      <c r="H119" s="12">
        <v>555171.44</v>
      </c>
      <c r="I119" s="12"/>
      <c r="J119" s="12">
        <v>2124.22</v>
      </c>
      <c r="K119" s="12"/>
      <c r="L119" s="12">
        <v>20919.66</v>
      </c>
      <c r="M119" s="12"/>
      <c r="N119" s="12">
        <v>0</v>
      </c>
      <c r="O119" s="12"/>
      <c r="P119" s="12">
        <v>3560.93</v>
      </c>
      <c r="Q119" s="12"/>
      <c r="R119" s="12">
        <v>8274.12</v>
      </c>
      <c r="S119" s="12"/>
      <c r="T119" s="12">
        <v>1113.35</v>
      </c>
      <c r="U119" s="12"/>
      <c r="V119" s="12">
        <v>445</v>
      </c>
      <c r="W119" s="12"/>
      <c r="X119" s="12">
        <v>0</v>
      </c>
      <c r="Y119" s="12"/>
      <c r="Z119" s="12">
        <v>0</v>
      </c>
      <c r="AA119" s="12"/>
      <c r="AB119" s="12">
        <v>0</v>
      </c>
      <c r="AC119" s="12"/>
      <c r="AD119" s="12">
        <f t="shared" si="1"/>
        <v>591608.72</v>
      </c>
    </row>
    <row r="120" spans="1:30" s="11" customFormat="1" ht="12">
      <c r="A120" s="11" t="s">
        <v>289</v>
      </c>
      <c r="C120" s="11" t="s">
        <v>106</v>
      </c>
      <c r="D120" s="11" t="s">
        <v>46</v>
      </c>
      <c r="F120" s="12">
        <v>0</v>
      </c>
      <c r="G120" s="12"/>
      <c r="H120" s="12">
        <v>508129.69</v>
      </c>
      <c r="I120" s="12"/>
      <c r="J120" s="12">
        <v>0</v>
      </c>
      <c r="K120" s="12"/>
      <c r="L120" s="12">
        <v>14455.33</v>
      </c>
      <c r="M120" s="12"/>
      <c r="N120" s="12">
        <v>0</v>
      </c>
      <c r="O120" s="12"/>
      <c r="P120" s="12">
        <v>49442.07</v>
      </c>
      <c r="Q120" s="12"/>
      <c r="R120" s="12">
        <v>7566.65</v>
      </c>
      <c r="S120" s="12"/>
      <c r="T120" s="12">
        <v>2356.78</v>
      </c>
      <c r="U120" s="12"/>
      <c r="V120" s="12">
        <v>0</v>
      </c>
      <c r="W120" s="12"/>
      <c r="X120" s="12">
        <v>0</v>
      </c>
      <c r="Y120" s="12"/>
      <c r="Z120" s="12">
        <v>0</v>
      </c>
      <c r="AA120" s="12"/>
      <c r="AB120" s="12">
        <v>0</v>
      </c>
      <c r="AC120" s="12"/>
      <c r="AD120" s="12">
        <f t="shared" si="1"/>
        <v>581950.52</v>
      </c>
    </row>
    <row r="121" spans="1:30" s="11" customFormat="1" ht="12">
      <c r="A121" s="11" t="s">
        <v>100</v>
      </c>
      <c r="C121" s="11" t="s">
        <v>101</v>
      </c>
      <c r="D121" s="11" t="s">
        <v>58</v>
      </c>
      <c r="F121" s="12">
        <v>0</v>
      </c>
      <c r="G121" s="12"/>
      <c r="H121" s="12">
        <v>0</v>
      </c>
      <c r="I121" s="12"/>
      <c r="J121" s="12">
        <v>6087360</v>
      </c>
      <c r="K121" s="12"/>
      <c r="L121" s="12">
        <v>220300</v>
      </c>
      <c r="M121" s="12"/>
      <c r="N121" s="12">
        <v>0</v>
      </c>
      <c r="O121" s="12"/>
      <c r="P121" s="12">
        <v>0</v>
      </c>
      <c r="Q121" s="12"/>
      <c r="R121" s="12">
        <v>122035</v>
      </c>
      <c r="S121" s="12"/>
      <c r="T121" s="12">
        <v>15749</v>
      </c>
      <c r="U121" s="12"/>
      <c r="V121" s="12">
        <v>0</v>
      </c>
      <c r="W121" s="12"/>
      <c r="X121" s="12">
        <v>0</v>
      </c>
      <c r="Y121" s="12"/>
      <c r="Z121" s="12">
        <v>0</v>
      </c>
      <c r="AA121" s="12"/>
      <c r="AB121" s="12">
        <v>0</v>
      </c>
      <c r="AC121" s="12"/>
      <c r="AD121" s="12">
        <f t="shared" si="1"/>
        <v>6445444</v>
      </c>
    </row>
    <row r="122" spans="1:30" s="11" customFormat="1" ht="12">
      <c r="A122" s="11" t="s">
        <v>290</v>
      </c>
      <c r="C122" s="11" t="s">
        <v>147</v>
      </c>
      <c r="D122" s="11" t="s">
        <v>78</v>
      </c>
      <c r="F122" s="12">
        <v>0</v>
      </c>
      <c r="G122" s="12"/>
      <c r="H122" s="12">
        <v>857523.43</v>
      </c>
      <c r="I122" s="12"/>
      <c r="J122" s="12">
        <v>0</v>
      </c>
      <c r="K122" s="12"/>
      <c r="L122" s="12">
        <v>24347.79</v>
      </c>
      <c r="M122" s="12"/>
      <c r="N122" s="12">
        <v>0</v>
      </c>
      <c r="O122" s="12"/>
      <c r="P122" s="12">
        <v>1943</v>
      </c>
      <c r="Q122" s="12"/>
      <c r="R122" s="12">
        <v>68123.88</v>
      </c>
      <c r="S122" s="12"/>
      <c r="T122" s="12">
        <v>4332.78</v>
      </c>
      <c r="U122" s="12"/>
      <c r="V122" s="12">
        <v>0</v>
      </c>
      <c r="W122" s="12"/>
      <c r="X122" s="12">
        <v>0</v>
      </c>
      <c r="Y122" s="12"/>
      <c r="Z122" s="12">
        <v>0</v>
      </c>
      <c r="AA122" s="12"/>
      <c r="AB122" s="12">
        <v>0</v>
      </c>
      <c r="AC122" s="12"/>
      <c r="AD122" s="12">
        <f t="shared" si="1"/>
        <v>956270.8800000001</v>
      </c>
    </row>
    <row r="123" spans="1:30" s="11" customFormat="1" ht="12">
      <c r="A123" s="11" t="s">
        <v>461</v>
      </c>
      <c r="C123" s="11" t="s">
        <v>144</v>
      </c>
      <c r="D123" s="11" t="s">
        <v>34</v>
      </c>
      <c r="F123" s="12">
        <v>0</v>
      </c>
      <c r="G123" s="12"/>
      <c r="H123" s="12">
        <v>251756.24</v>
      </c>
      <c r="I123" s="12"/>
      <c r="J123" s="12">
        <v>0</v>
      </c>
      <c r="K123" s="12"/>
      <c r="L123" s="12">
        <v>7754.76</v>
      </c>
      <c r="M123" s="12"/>
      <c r="N123" s="12">
        <v>0</v>
      </c>
      <c r="O123" s="12"/>
      <c r="P123" s="12">
        <v>0</v>
      </c>
      <c r="Q123" s="12"/>
      <c r="R123" s="12">
        <v>28955.64</v>
      </c>
      <c r="S123" s="12"/>
      <c r="T123" s="12">
        <v>1753.12</v>
      </c>
      <c r="U123" s="12"/>
      <c r="V123" s="12">
        <v>0</v>
      </c>
      <c r="W123" s="12"/>
      <c r="X123" s="12">
        <v>0</v>
      </c>
      <c r="Y123" s="12"/>
      <c r="Z123" s="12">
        <v>0</v>
      </c>
      <c r="AA123" s="12"/>
      <c r="AB123" s="12">
        <v>0</v>
      </c>
      <c r="AC123" s="12"/>
      <c r="AD123" s="12">
        <f t="shared" si="1"/>
        <v>290219.76</v>
      </c>
    </row>
    <row r="124" spans="1:30" s="11" customFormat="1" ht="12">
      <c r="A124" s="11" t="s">
        <v>292</v>
      </c>
      <c r="C124" s="11" t="s">
        <v>144</v>
      </c>
      <c r="D124" s="11" t="s">
        <v>34</v>
      </c>
      <c r="F124" s="12">
        <v>0</v>
      </c>
      <c r="G124" s="12"/>
      <c r="H124" s="12">
        <v>592701.07</v>
      </c>
      <c r="I124" s="12"/>
      <c r="J124" s="12">
        <v>0</v>
      </c>
      <c r="K124" s="12"/>
      <c r="L124" s="12">
        <v>8837.73</v>
      </c>
      <c r="M124" s="12"/>
      <c r="N124" s="12">
        <v>0</v>
      </c>
      <c r="O124" s="12"/>
      <c r="P124" s="12">
        <v>69310.83</v>
      </c>
      <c r="Q124" s="12"/>
      <c r="R124" s="12">
        <v>60457.22</v>
      </c>
      <c r="S124" s="12"/>
      <c r="T124" s="12">
        <v>6786.17</v>
      </c>
      <c r="U124" s="12"/>
      <c r="V124" s="12">
        <v>0</v>
      </c>
      <c r="W124" s="12"/>
      <c r="X124" s="12">
        <v>0</v>
      </c>
      <c r="Y124" s="12"/>
      <c r="Z124" s="12">
        <v>0</v>
      </c>
      <c r="AA124" s="12"/>
      <c r="AB124" s="12">
        <v>0</v>
      </c>
      <c r="AC124" s="12"/>
      <c r="AD124" s="12">
        <f t="shared" si="1"/>
        <v>738093.0199999999</v>
      </c>
    </row>
    <row r="125" spans="1:30" s="11" customFormat="1" ht="12">
      <c r="A125" s="11" t="s">
        <v>293</v>
      </c>
      <c r="C125" s="11" t="s">
        <v>153</v>
      </c>
      <c r="D125" s="11" t="s">
        <v>12</v>
      </c>
      <c r="F125" s="12">
        <v>0</v>
      </c>
      <c r="G125" s="12"/>
      <c r="H125" s="12">
        <v>179131.36</v>
      </c>
      <c r="I125" s="12"/>
      <c r="J125" s="12">
        <v>0</v>
      </c>
      <c r="K125" s="12"/>
      <c r="L125" s="12">
        <v>6045.22</v>
      </c>
      <c r="M125" s="12"/>
      <c r="N125" s="12">
        <v>1141.37</v>
      </c>
      <c r="O125" s="12"/>
      <c r="P125" s="12">
        <v>2526.62</v>
      </c>
      <c r="Q125" s="12"/>
      <c r="R125" s="12">
        <v>2554.3</v>
      </c>
      <c r="S125" s="12"/>
      <c r="T125" s="12">
        <v>955.44</v>
      </c>
      <c r="U125" s="12"/>
      <c r="V125" s="12">
        <v>0</v>
      </c>
      <c r="W125" s="12"/>
      <c r="X125" s="12">
        <v>0</v>
      </c>
      <c r="Y125" s="12"/>
      <c r="Z125" s="12">
        <v>0</v>
      </c>
      <c r="AA125" s="12"/>
      <c r="AB125" s="12">
        <v>0</v>
      </c>
      <c r="AC125" s="12"/>
      <c r="AD125" s="12">
        <f t="shared" si="1"/>
        <v>192354.30999999997</v>
      </c>
    </row>
    <row r="126" spans="1:30" s="11" customFormat="1" ht="12">
      <c r="A126" s="11" t="s">
        <v>294</v>
      </c>
      <c r="C126" s="11" t="s">
        <v>194</v>
      </c>
      <c r="D126" s="11" t="s">
        <v>59</v>
      </c>
      <c r="F126" s="12">
        <v>3685707</v>
      </c>
      <c r="G126" s="12"/>
      <c r="H126" s="12">
        <v>0</v>
      </c>
      <c r="I126" s="12"/>
      <c r="J126" s="12">
        <v>0</v>
      </c>
      <c r="K126" s="12"/>
      <c r="L126" s="12">
        <v>80518</v>
      </c>
      <c r="M126" s="12"/>
      <c r="N126" s="12">
        <f>6062+12302</f>
        <v>18364</v>
      </c>
      <c r="O126" s="12"/>
      <c r="P126" s="12">
        <v>13120</v>
      </c>
      <c r="Q126" s="12"/>
      <c r="R126" s="12">
        <v>133665</v>
      </c>
      <c r="S126" s="12"/>
      <c r="T126" s="12">
        <v>8886</v>
      </c>
      <c r="U126" s="12"/>
      <c r="V126" s="12">
        <v>0</v>
      </c>
      <c r="W126" s="12"/>
      <c r="X126" s="12">
        <v>0</v>
      </c>
      <c r="Y126" s="12"/>
      <c r="Z126" s="12">
        <v>0</v>
      </c>
      <c r="AA126" s="12"/>
      <c r="AB126" s="12">
        <v>0</v>
      </c>
      <c r="AC126" s="12"/>
      <c r="AD126" s="12">
        <f t="shared" si="1"/>
        <v>3940260</v>
      </c>
    </row>
    <row r="127" spans="1:30" s="11" customFormat="1" ht="12">
      <c r="A127" s="11" t="s">
        <v>295</v>
      </c>
      <c r="C127" s="11" t="s">
        <v>183</v>
      </c>
      <c r="D127" s="11" t="s">
        <v>23</v>
      </c>
      <c r="F127" s="12">
        <v>0</v>
      </c>
      <c r="G127" s="12"/>
      <c r="H127" s="12">
        <v>1486372</v>
      </c>
      <c r="I127" s="12"/>
      <c r="J127" s="12">
        <v>0</v>
      </c>
      <c r="K127" s="12"/>
      <c r="L127" s="12">
        <v>41988</v>
      </c>
      <c r="M127" s="12"/>
      <c r="N127" s="12">
        <v>0</v>
      </c>
      <c r="O127" s="12"/>
      <c r="P127" s="12">
        <v>2674</v>
      </c>
      <c r="Q127" s="12"/>
      <c r="R127" s="12">
        <v>35361</v>
      </c>
      <c r="S127" s="12"/>
      <c r="T127" s="12">
        <v>2724</v>
      </c>
      <c r="U127" s="12"/>
      <c r="V127" s="12">
        <v>0</v>
      </c>
      <c r="W127" s="12"/>
      <c r="X127" s="12">
        <v>0</v>
      </c>
      <c r="Y127" s="12"/>
      <c r="Z127" s="12">
        <v>0</v>
      </c>
      <c r="AA127" s="12"/>
      <c r="AB127" s="12">
        <v>0</v>
      </c>
      <c r="AC127" s="12"/>
      <c r="AD127" s="12">
        <f t="shared" si="1"/>
        <v>1569119</v>
      </c>
    </row>
    <row r="128" spans="1:30" s="11" customFormat="1" ht="12">
      <c r="A128" s="11" t="s">
        <v>296</v>
      </c>
      <c r="C128" s="11" t="s">
        <v>297</v>
      </c>
      <c r="D128" s="11" t="s">
        <v>60</v>
      </c>
      <c r="F128" s="12">
        <v>0</v>
      </c>
      <c r="G128" s="12"/>
      <c r="H128" s="12">
        <v>1003084</v>
      </c>
      <c r="I128" s="12"/>
      <c r="J128" s="12">
        <v>0</v>
      </c>
      <c r="K128" s="12"/>
      <c r="L128" s="12">
        <v>37425</v>
      </c>
      <c r="M128" s="12"/>
      <c r="N128" s="12">
        <v>0</v>
      </c>
      <c r="O128" s="12"/>
      <c r="P128" s="12">
        <v>1350</v>
      </c>
      <c r="Q128" s="12"/>
      <c r="R128" s="12">
        <v>100219</v>
      </c>
      <c r="S128" s="12"/>
      <c r="T128" s="12">
        <v>15957</v>
      </c>
      <c r="U128" s="12"/>
      <c r="V128" s="12">
        <v>0</v>
      </c>
      <c r="W128" s="12"/>
      <c r="X128" s="12">
        <v>0</v>
      </c>
      <c r="Y128" s="12"/>
      <c r="Z128" s="12">
        <v>0</v>
      </c>
      <c r="AA128" s="12"/>
      <c r="AB128" s="12">
        <v>0</v>
      </c>
      <c r="AC128" s="12"/>
      <c r="AD128" s="12">
        <f t="shared" si="1"/>
        <v>1158035</v>
      </c>
    </row>
    <row r="129" spans="1:30" s="11" customFormat="1" ht="12">
      <c r="A129" s="11" t="s">
        <v>102</v>
      </c>
      <c r="C129" s="11" t="s">
        <v>103</v>
      </c>
      <c r="D129" s="11" t="s">
        <v>61</v>
      </c>
      <c r="F129" s="12">
        <v>297347</v>
      </c>
      <c r="G129" s="12"/>
      <c r="H129" s="12">
        <v>0</v>
      </c>
      <c r="I129" s="12"/>
      <c r="J129" s="12">
        <v>608299</v>
      </c>
      <c r="K129" s="12"/>
      <c r="L129" s="12">
        <v>23004</v>
      </c>
      <c r="M129" s="12"/>
      <c r="N129" s="12">
        <v>0</v>
      </c>
      <c r="O129" s="12"/>
      <c r="P129" s="12">
        <v>1395</v>
      </c>
      <c r="Q129" s="12"/>
      <c r="R129" s="12">
        <v>47080</v>
      </c>
      <c r="S129" s="12"/>
      <c r="T129" s="12">
        <v>4356</v>
      </c>
      <c r="U129" s="12"/>
      <c r="V129" s="12">
        <v>0</v>
      </c>
      <c r="W129" s="12"/>
      <c r="X129" s="12">
        <v>0</v>
      </c>
      <c r="Y129" s="12"/>
      <c r="Z129" s="12">
        <v>0</v>
      </c>
      <c r="AA129" s="12"/>
      <c r="AB129" s="12">
        <v>0</v>
      </c>
      <c r="AC129" s="12"/>
      <c r="AD129" s="12">
        <f t="shared" si="1"/>
        <v>981481</v>
      </c>
    </row>
    <row r="130" spans="1:30" s="11" customFormat="1" ht="12">
      <c r="A130" s="11" t="s">
        <v>298</v>
      </c>
      <c r="C130" s="11" t="s">
        <v>150</v>
      </c>
      <c r="D130" s="11" t="s">
        <v>18</v>
      </c>
      <c r="F130" s="12">
        <v>3695360</v>
      </c>
      <c r="G130" s="12"/>
      <c r="H130" s="12">
        <v>4583965</v>
      </c>
      <c r="I130" s="12"/>
      <c r="J130" s="12">
        <v>0</v>
      </c>
      <c r="K130" s="12"/>
      <c r="L130" s="12">
        <v>146700</v>
      </c>
      <c r="M130" s="12"/>
      <c r="N130" s="12">
        <v>13476</v>
      </c>
      <c r="O130" s="12"/>
      <c r="P130" s="12">
        <v>50936</v>
      </c>
      <c r="Q130" s="12"/>
      <c r="R130" s="12">
        <v>185953</v>
      </c>
      <c r="S130" s="12"/>
      <c r="T130" s="12">
        <v>17945</v>
      </c>
      <c r="U130" s="12"/>
      <c r="V130" s="12">
        <v>0</v>
      </c>
      <c r="W130" s="12"/>
      <c r="X130" s="12">
        <v>0</v>
      </c>
      <c r="Y130" s="12"/>
      <c r="Z130" s="12">
        <v>0</v>
      </c>
      <c r="AA130" s="12"/>
      <c r="AB130" s="12">
        <v>0</v>
      </c>
      <c r="AC130" s="12"/>
      <c r="AD130" s="12">
        <f t="shared" si="1"/>
        <v>8694335</v>
      </c>
    </row>
    <row r="131" spans="1:30" s="11" customFormat="1" ht="12">
      <c r="A131" s="11" t="s">
        <v>299</v>
      </c>
      <c r="C131" s="11" t="s">
        <v>177</v>
      </c>
      <c r="D131" s="11" t="s">
        <v>21</v>
      </c>
      <c r="F131" s="12">
        <v>7062</v>
      </c>
      <c r="G131" s="12"/>
      <c r="H131" s="12">
        <v>693771</v>
      </c>
      <c r="I131" s="12"/>
      <c r="J131" s="12">
        <v>0</v>
      </c>
      <c r="K131" s="12"/>
      <c r="L131" s="12">
        <v>17717</v>
      </c>
      <c r="M131" s="12"/>
      <c r="N131" s="12">
        <v>342</v>
      </c>
      <c r="O131" s="12"/>
      <c r="P131" s="12">
        <v>1556</v>
      </c>
      <c r="Q131" s="12"/>
      <c r="R131" s="12">
        <v>15643</v>
      </c>
      <c r="S131" s="12"/>
      <c r="T131" s="12">
        <v>3474</v>
      </c>
      <c r="U131" s="12"/>
      <c r="V131" s="12">
        <v>0</v>
      </c>
      <c r="W131" s="12"/>
      <c r="X131" s="12">
        <v>0</v>
      </c>
      <c r="Y131" s="12"/>
      <c r="Z131" s="12">
        <v>0</v>
      </c>
      <c r="AA131" s="12"/>
      <c r="AB131" s="12">
        <v>0</v>
      </c>
      <c r="AC131" s="12"/>
      <c r="AD131" s="12">
        <f t="shared" si="1"/>
        <v>739565</v>
      </c>
    </row>
    <row r="132" spans="1:30" s="11" customFormat="1" ht="12">
      <c r="A132" s="11" t="s">
        <v>462</v>
      </c>
      <c r="C132" s="11" t="s">
        <v>116</v>
      </c>
      <c r="D132" s="11" t="s">
        <v>65</v>
      </c>
      <c r="F132" s="12">
        <v>700147</v>
      </c>
      <c r="G132" s="12"/>
      <c r="H132" s="12">
        <v>0</v>
      </c>
      <c r="I132" s="12"/>
      <c r="J132" s="12">
        <v>0</v>
      </c>
      <c r="K132" s="12"/>
      <c r="L132" s="12">
        <v>20176</v>
      </c>
      <c r="M132" s="12"/>
      <c r="N132" s="12">
        <v>9579</v>
      </c>
      <c r="O132" s="12"/>
      <c r="P132" s="12">
        <v>421</v>
      </c>
      <c r="Q132" s="12"/>
      <c r="R132" s="12">
        <v>3706</v>
      </c>
      <c r="S132" s="12"/>
      <c r="T132" s="12">
        <v>15528</v>
      </c>
      <c r="U132" s="12"/>
      <c r="V132" s="12">
        <v>43</v>
      </c>
      <c r="W132" s="12"/>
      <c r="X132" s="12">
        <v>0</v>
      </c>
      <c r="Y132" s="12"/>
      <c r="Z132" s="12">
        <v>0</v>
      </c>
      <c r="AA132" s="12"/>
      <c r="AB132" s="12">
        <v>0</v>
      </c>
      <c r="AC132" s="12"/>
      <c r="AD132" s="12">
        <f t="shared" si="1"/>
        <v>749600</v>
      </c>
    </row>
    <row r="133" spans="1:30" s="11" customFormat="1" ht="12">
      <c r="A133" s="11" t="s">
        <v>301</v>
      </c>
      <c r="C133" s="11" t="s">
        <v>106</v>
      </c>
      <c r="D133" s="11" t="s">
        <v>46</v>
      </c>
      <c r="F133" s="12">
        <v>277366</v>
      </c>
      <c r="G133" s="12"/>
      <c r="H133" s="12">
        <v>786360</v>
      </c>
      <c r="I133" s="12"/>
      <c r="J133" s="12">
        <v>30026</v>
      </c>
      <c r="K133" s="12"/>
      <c r="L133" s="12">
        <v>33556</v>
      </c>
      <c r="M133" s="12"/>
      <c r="N133" s="12">
        <v>0</v>
      </c>
      <c r="O133" s="12"/>
      <c r="P133" s="12">
        <v>6225</v>
      </c>
      <c r="Q133" s="12"/>
      <c r="R133" s="12">
        <v>62678</v>
      </c>
      <c r="S133" s="12"/>
      <c r="T133" s="12">
        <v>350</v>
      </c>
      <c r="U133" s="12"/>
      <c r="V133" s="12">
        <v>0</v>
      </c>
      <c r="W133" s="12"/>
      <c r="X133" s="12">
        <v>0</v>
      </c>
      <c r="Y133" s="12"/>
      <c r="Z133" s="12">
        <v>0</v>
      </c>
      <c r="AA133" s="12"/>
      <c r="AB133" s="12">
        <v>0</v>
      </c>
      <c r="AC133" s="12"/>
      <c r="AD133" s="12">
        <f t="shared" si="1"/>
        <v>1196561</v>
      </c>
    </row>
    <row r="134" spans="1:30" s="11" customFormat="1" ht="12">
      <c r="A134" s="11" t="s">
        <v>302</v>
      </c>
      <c r="C134" s="11" t="s">
        <v>303</v>
      </c>
      <c r="D134" s="11" t="s">
        <v>62</v>
      </c>
      <c r="F134" s="12">
        <v>3503520</v>
      </c>
      <c r="G134" s="12"/>
      <c r="H134" s="12">
        <v>4487369</v>
      </c>
      <c r="I134" s="12"/>
      <c r="J134" s="12">
        <v>322779</v>
      </c>
      <c r="K134" s="12"/>
      <c r="L134" s="12">
        <v>213522</v>
      </c>
      <c r="M134" s="12"/>
      <c r="N134" s="12">
        <v>0</v>
      </c>
      <c r="O134" s="12"/>
      <c r="P134" s="12">
        <v>25654</v>
      </c>
      <c r="Q134" s="12"/>
      <c r="R134" s="12">
        <v>235633</v>
      </c>
      <c r="S134" s="12"/>
      <c r="T134" s="12">
        <v>184051</v>
      </c>
      <c r="U134" s="12"/>
      <c r="V134" s="12">
        <v>0</v>
      </c>
      <c r="W134" s="12"/>
      <c r="X134" s="12">
        <v>0</v>
      </c>
      <c r="Y134" s="12"/>
      <c r="Z134" s="12">
        <v>0</v>
      </c>
      <c r="AA134" s="12"/>
      <c r="AB134" s="12">
        <v>0</v>
      </c>
      <c r="AC134" s="12"/>
      <c r="AD134" s="12">
        <f t="shared" si="1"/>
        <v>8972528</v>
      </c>
    </row>
    <row r="135" spans="1:30" s="11" customFormat="1" ht="12">
      <c r="A135" s="11" t="s">
        <v>304</v>
      </c>
      <c r="C135" s="11" t="s">
        <v>201</v>
      </c>
      <c r="D135" s="11" t="s">
        <v>30</v>
      </c>
      <c r="F135" s="12">
        <v>0</v>
      </c>
      <c r="G135" s="12"/>
      <c r="H135" s="12">
        <v>61237.94</v>
      </c>
      <c r="I135" s="12"/>
      <c r="J135" s="12">
        <v>0</v>
      </c>
      <c r="K135" s="12"/>
      <c r="L135" s="12">
        <v>914.78</v>
      </c>
      <c r="M135" s="12"/>
      <c r="N135" s="12">
        <v>0</v>
      </c>
      <c r="O135" s="12"/>
      <c r="P135" s="12">
        <v>0</v>
      </c>
      <c r="Q135" s="12"/>
      <c r="R135" s="12">
        <v>17.99</v>
      </c>
      <c r="S135" s="12"/>
      <c r="T135" s="12">
        <v>0</v>
      </c>
      <c r="U135" s="12"/>
      <c r="V135" s="12">
        <v>88</v>
      </c>
      <c r="W135" s="12"/>
      <c r="X135" s="12">
        <v>0</v>
      </c>
      <c r="Y135" s="12"/>
      <c r="Z135" s="12">
        <v>0</v>
      </c>
      <c r="AA135" s="12"/>
      <c r="AB135" s="12">
        <v>0</v>
      </c>
      <c r="AC135" s="12"/>
      <c r="AD135" s="12">
        <f t="shared" si="1"/>
        <v>62258.71</v>
      </c>
    </row>
    <row r="136" spans="1:30" s="11" customFormat="1" ht="12">
      <c r="A136" s="11" t="s">
        <v>305</v>
      </c>
      <c r="C136" s="11" t="s">
        <v>306</v>
      </c>
      <c r="D136" s="11" t="s">
        <v>63</v>
      </c>
      <c r="F136" s="12">
        <v>0</v>
      </c>
      <c r="G136" s="12"/>
      <c r="H136" s="12">
        <v>2446308</v>
      </c>
      <c r="I136" s="12"/>
      <c r="J136" s="12">
        <v>0</v>
      </c>
      <c r="K136" s="12"/>
      <c r="L136" s="12">
        <v>94178</v>
      </c>
      <c r="M136" s="12"/>
      <c r="N136" s="12">
        <v>0</v>
      </c>
      <c r="O136" s="12"/>
      <c r="P136" s="12">
        <v>5139</v>
      </c>
      <c r="Q136" s="12"/>
      <c r="R136" s="12">
        <v>59575</v>
      </c>
      <c r="S136" s="12"/>
      <c r="T136" s="12">
        <v>12022</v>
      </c>
      <c r="U136" s="12"/>
      <c r="V136" s="12">
        <v>0</v>
      </c>
      <c r="W136" s="12"/>
      <c r="X136" s="12">
        <v>0</v>
      </c>
      <c r="Y136" s="12"/>
      <c r="Z136" s="12">
        <v>0</v>
      </c>
      <c r="AA136" s="12"/>
      <c r="AB136" s="12">
        <v>0</v>
      </c>
      <c r="AC136" s="12"/>
      <c r="AD136" s="12">
        <f t="shared" si="1"/>
        <v>2617222</v>
      </c>
    </row>
    <row r="137" spans="1:30" s="11" customFormat="1" ht="12">
      <c r="A137" s="11" t="s">
        <v>600</v>
      </c>
      <c r="C137" s="11" t="s">
        <v>104</v>
      </c>
      <c r="F137" s="12">
        <v>0</v>
      </c>
      <c r="G137" s="12"/>
      <c r="H137" s="12">
        <v>0</v>
      </c>
      <c r="I137" s="12"/>
      <c r="J137" s="12">
        <v>1162484</v>
      </c>
      <c r="K137" s="12"/>
      <c r="L137" s="12">
        <v>31720</v>
      </c>
      <c r="M137" s="12"/>
      <c r="N137" s="12">
        <v>0</v>
      </c>
      <c r="O137" s="12"/>
      <c r="P137" s="12">
        <v>16448</v>
      </c>
      <c r="Q137" s="12"/>
      <c r="R137" s="12">
        <v>1488</v>
      </c>
      <c r="S137" s="12"/>
      <c r="T137" s="12">
        <f>445+20+9433</f>
        <v>9898</v>
      </c>
      <c r="U137" s="12"/>
      <c r="V137" s="12">
        <v>0</v>
      </c>
      <c r="W137" s="12"/>
      <c r="X137" s="12">
        <v>0</v>
      </c>
      <c r="Y137" s="12"/>
      <c r="Z137" s="12">
        <v>0</v>
      </c>
      <c r="AA137" s="12"/>
      <c r="AB137" s="12">
        <v>0</v>
      </c>
      <c r="AC137" s="12"/>
      <c r="AD137" s="12">
        <f>SUM(F137:AB137)</f>
        <v>1222038</v>
      </c>
    </row>
    <row r="138" spans="1:30" s="11" customFormat="1" ht="12">
      <c r="A138" s="11" t="s">
        <v>307</v>
      </c>
      <c r="C138" s="11" t="s">
        <v>303</v>
      </c>
      <c r="D138" s="11" t="s">
        <v>62</v>
      </c>
      <c r="F138" s="12">
        <v>0</v>
      </c>
      <c r="G138" s="12"/>
      <c r="H138" s="12">
        <v>540289.47</v>
      </c>
      <c r="I138" s="12"/>
      <c r="J138" s="12">
        <v>500</v>
      </c>
      <c r="K138" s="12"/>
      <c r="L138" s="12">
        <v>24017.67</v>
      </c>
      <c r="M138" s="12"/>
      <c r="N138" s="12">
        <v>0</v>
      </c>
      <c r="O138" s="12"/>
      <c r="P138" s="12">
        <v>4908.84</v>
      </c>
      <c r="Q138" s="12"/>
      <c r="R138" s="12">
        <v>37185.93</v>
      </c>
      <c r="S138" s="12"/>
      <c r="T138" s="12">
        <v>3328.08</v>
      </c>
      <c r="U138" s="12"/>
      <c r="V138" s="12">
        <v>2000</v>
      </c>
      <c r="W138" s="12"/>
      <c r="X138" s="12">
        <v>0</v>
      </c>
      <c r="Y138" s="12"/>
      <c r="Z138" s="12">
        <v>0</v>
      </c>
      <c r="AA138" s="12"/>
      <c r="AB138" s="12">
        <v>0</v>
      </c>
      <c r="AC138" s="12"/>
      <c r="AD138" s="12">
        <f>SUM(F138:AB138)</f>
        <v>612229.99</v>
      </c>
    </row>
    <row r="139" spans="1:30" s="11" customFormat="1" ht="12">
      <c r="A139" s="11" t="s">
        <v>308</v>
      </c>
      <c r="C139" s="11" t="s">
        <v>147</v>
      </c>
      <c r="D139" s="11" t="s">
        <v>78</v>
      </c>
      <c r="F139" s="12">
        <v>0</v>
      </c>
      <c r="G139" s="12"/>
      <c r="H139" s="12">
        <v>694120.92</v>
      </c>
      <c r="I139" s="12"/>
      <c r="J139" s="12">
        <v>2530</v>
      </c>
      <c r="K139" s="12"/>
      <c r="L139" s="12">
        <v>17536.35</v>
      </c>
      <c r="M139" s="12"/>
      <c r="N139" s="12">
        <v>0</v>
      </c>
      <c r="O139" s="12"/>
      <c r="P139" s="12">
        <v>6699.67</v>
      </c>
      <c r="Q139" s="12"/>
      <c r="R139" s="12">
        <v>21420.29</v>
      </c>
      <c r="S139" s="12"/>
      <c r="T139" s="12">
        <v>4804.97</v>
      </c>
      <c r="U139" s="12"/>
      <c r="V139" s="12">
        <v>0</v>
      </c>
      <c r="W139" s="12"/>
      <c r="X139" s="12">
        <v>0</v>
      </c>
      <c r="Y139" s="12"/>
      <c r="Z139" s="12">
        <v>0</v>
      </c>
      <c r="AA139" s="12"/>
      <c r="AB139" s="12">
        <v>0</v>
      </c>
      <c r="AC139" s="12"/>
      <c r="AD139" s="12">
        <f>SUM(F139:AB139)</f>
        <v>747112.2000000001</v>
      </c>
    </row>
    <row r="140" spans="1:30" s="11" customFormat="1" ht="12">
      <c r="A140" s="11" t="s">
        <v>309</v>
      </c>
      <c r="C140" s="11" t="s">
        <v>154</v>
      </c>
      <c r="D140" s="11" t="s">
        <v>53</v>
      </c>
      <c r="F140" s="12">
        <v>0</v>
      </c>
      <c r="G140" s="12"/>
      <c r="H140" s="12">
        <v>556964.41</v>
      </c>
      <c r="I140" s="12"/>
      <c r="J140" s="12">
        <v>0</v>
      </c>
      <c r="K140" s="12"/>
      <c r="L140" s="12">
        <v>21844.03</v>
      </c>
      <c r="M140" s="12"/>
      <c r="N140" s="12">
        <v>0</v>
      </c>
      <c r="O140" s="12"/>
      <c r="P140" s="12">
        <v>9768.29</v>
      </c>
      <c r="Q140" s="12"/>
      <c r="R140" s="12">
        <v>51421.36</v>
      </c>
      <c r="S140" s="12"/>
      <c r="T140" s="12">
        <v>24248.74</v>
      </c>
      <c r="U140" s="12"/>
      <c r="V140" s="12">
        <v>0</v>
      </c>
      <c r="W140" s="12"/>
      <c r="X140" s="12">
        <v>180056.19</v>
      </c>
      <c r="Y140" s="12"/>
      <c r="Z140" s="12">
        <v>0</v>
      </c>
      <c r="AA140" s="12"/>
      <c r="AB140" s="12">
        <v>0</v>
      </c>
      <c r="AC140" s="12"/>
      <c r="AD140" s="12">
        <f>SUM(F140:AB140)</f>
        <v>844303.02</v>
      </c>
    </row>
    <row r="141" spans="1:30" s="11" customFormat="1" ht="12">
      <c r="A141" s="11" t="s">
        <v>310</v>
      </c>
      <c r="C141" s="11" t="s">
        <v>311</v>
      </c>
      <c r="D141" s="11" t="s">
        <v>64</v>
      </c>
      <c r="F141" s="12">
        <v>746548</v>
      </c>
      <c r="G141" s="12"/>
      <c r="H141" s="12">
        <v>752740</v>
      </c>
      <c r="I141" s="12"/>
      <c r="J141" s="12">
        <v>0</v>
      </c>
      <c r="K141" s="12"/>
      <c r="L141" s="12">
        <v>48991</v>
      </c>
      <c r="M141" s="12"/>
      <c r="N141" s="12">
        <v>0</v>
      </c>
      <c r="O141" s="12"/>
      <c r="P141" s="12">
        <v>63314</v>
      </c>
      <c r="Q141" s="12"/>
      <c r="R141" s="12">
        <v>33551</v>
      </c>
      <c r="S141" s="12"/>
      <c r="T141" s="12">
        <v>5075</v>
      </c>
      <c r="U141" s="12"/>
      <c r="V141" s="12">
        <v>0</v>
      </c>
      <c r="W141" s="12"/>
      <c r="X141" s="12">
        <v>0</v>
      </c>
      <c r="Y141" s="12"/>
      <c r="Z141" s="12">
        <v>0</v>
      </c>
      <c r="AA141" s="12"/>
      <c r="AB141" s="12">
        <v>0</v>
      </c>
      <c r="AC141" s="12"/>
      <c r="AD141" s="12">
        <f>SUM(F141:AB141)</f>
        <v>1650219</v>
      </c>
    </row>
    <row r="142" spans="1:30" s="11" customFormat="1" ht="12">
      <c r="A142" s="11" t="s">
        <v>312</v>
      </c>
      <c r="C142" s="11" t="s">
        <v>147</v>
      </c>
      <c r="D142" s="11" t="s">
        <v>78</v>
      </c>
      <c r="F142" s="12">
        <v>0</v>
      </c>
      <c r="G142" s="12"/>
      <c r="H142" s="12">
        <v>1170272.89</v>
      </c>
      <c r="I142" s="12"/>
      <c r="J142" s="12">
        <v>0</v>
      </c>
      <c r="K142" s="12"/>
      <c r="L142" s="12">
        <v>48342.42</v>
      </c>
      <c r="M142" s="12"/>
      <c r="N142" s="12">
        <v>0</v>
      </c>
      <c r="O142" s="12"/>
      <c r="P142" s="12">
        <v>3100</v>
      </c>
      <c r="Q142" s="12"/>
      <c r="R142" s="12">
        <v>45774.14</v>
      </c>
      <c r="S142" s="12"/>
      <c r="T142" s="12">
        <v>540.88</v>
      </c>
      <c r="U142" s="12"/>
      <c r="V142" s="12">
        <v>0</v>
      </c>
      <c r="W142" s="12"/>
      <c r="X142" s="12">
        <v>0</v>
      </c>
      <c r="Y142" s="12"/>
      <c r="Z142" s="12">
        <v>0</v>
      </c>
      <c r="AA142" s="12"/>
      <c r="AB142" s="12">
        <v>0</v>
      </c>
      <c r="AC142" s="12"/>
      <c r="AD142" s="12">
        <f aca="true" t="shared" si="2" ref="AD142:AD157">SUM(F142:AB142)</f>
        <v>1268030.3299999996</v>
      </c>
    </row>
    <row r="143" spans="1:30" s="11" customFormat="1" ht="12">
      <c r="A143" s="11" t="s">
        <v>313</v>
      </c>
      <c r="C143" s="11" t="s">
        <v>116</v>
      </c>
      <c r="D143" s="11" t="s">
        <v>65</v>
      </c>
      <c r="F143" s="12">
        <v>0</v>
      </c>
      <c r="G143" s="12"/>
      <c r="H143" s="12">
        <v>1631046</v>
      </c>
      <c r="I143" s="12"/>
      <c r="J143" s="12">
        <v>0</v>
      </c>
      <c r="K143" s="12"/>
      <c r="L143" s="12">
        <v>75279</v>
      </c>
      <c r="M143" s="12"/>
      <c r="N143" s="12">
        <v>0</v>
      </c>
      <c r="O143" s="12"/>
      <c r="P143" s="12">
        <v>15378</v>
      </c>
      <c r="Q143" s="12"/>
      <c r="R143" s="12">
        <v>36133</v>
      </c>
      <c r="S143" s="12"/>
      <c r="T143" s="12">
        <v>4587</v>
      </c>
      <c r="U143" s="12"/>
      <c r="V143" s="12">
        <v>0</v>
      </c>
      <c r="W143" s="12"/>
      <c r="X143" s="12">
        <v>0</v>
      </c>
      <c r="Y143" s="12"/>
      <c r="Z143" s="12">
        <v>0</v>
      </c>
      <c r="AA143" s="12"/>
      <c r="AB143" s="12">
        <v>0</v>
      </c>
      <c r="AC143" s="12"/>
      <c r="AD143" s="12">
        <f t="shared" si="2"/>
        <v>1762423</v>
      </c>
    </row>
    <row r="144" spans="1:30" s="11" customFormat="1" ht="12">
      <c r="A144" s="11" t="s">
        <v>463</v>
      </c>
      <c r="C144" s="11" t="s">
        <v>244</v>
      </c>
      <c r="D144" s="11" t="s">
        <v>47</v>
      </c>
      <c r="F144" s="12">
        <v>0</v>
      </c>
      <c r="G144" s="12"/>
      <c r="H144" s="12">
        <v>313937.28</v>
      </c>
      <c r="I144" s="12"/>
      <c r="J144" s="12">
        <v>0</v>
      </c>
      <c r="K144" s="12"/>
      <c r="L144" s="12">
        <v>7903.83</v>
      </c>
      <c r="M144" s="12"/>
      <c r="N144" s="12">
        <v>0</v>
      </c>
      <c r="O144" s="12"/>
      <c r="P144" s="12">
        <v>1875.75</v>
      </c>
      <c r="Q144" s="12"/>
      <c r="R144" s="12">
        <v>1362.83</v>
      </c>
      <c r="S144" s="12"/>
      <c r="T144" s="12">
        <v>416.16</v>
      </c>
      <c r="U144" s="12"/>
      <c r="V144" s="12">
        <v>0</v>
      </c>
      <c r="W144" s="12"/>
      <c r="X144" s="12">
        <v>0</v>
      </c>
      <c r="Y144" s="12"/>
      <c r="Z144" s="12">
        <v>0</v>
      </c>
      <c r="AA144" s="12"/>
      <c r="AB144" s="12">
        <v>0</v>
      </c>
      <c r="AC144" s="12"/>
      <c r="AD144" s="12">
        <f t="shared" si="2"/>
        <v>325495.85000000003</v>
      </c>
    </row>
    <row r="145" spans="1:30" s="11" customFormat="1" ht="12">
      <c r="A145" s="11" t="s">
        <v>315</v>
      </c>
      <c r="C145" s="11" t="s">
        <v>155</v>
      </c>
      <c r="D145" s="11" t="s">
        <v>36</v>
      </c>
      <c r="F145" s="12">
        <v>0</v>
      </c>
      <c r="G145" s="12"/>
      <c r="H145" s="12">
        <v>311660.35</v>
      </c>
      <c r="I145" s="12"/>
      <c r="J145" s="12">
        <v>0</v>
      </c>
      <c r="K145" s="12"/>
      <c r="L145" s="12">
        <v>7513.17</v>
      </c>
      <c r="M145" s="12"/>
      <c r="N145" s="12">
        <v>0</v>
      </c>
      <c r="O145" s="12"/>
      <c r="P145" s="12">
        <v>15244.03</v>
      </c>
      <c r="Q145" s="12"/>
      <c r="R145" s="12">
        <v>3352.32</v>
      </c>
      <c r="S145" s="12"/>
      <c r="T145" s="12">
        <v>268.2</v>
      </c>
      <c r="U145" s="12"/>
      <c r="V145" s="12">
        <v>0</v>
      </c>
      <c r="W145" s="12"/>
      <c r="X145" s="12">
        <v>32000</v>
      </c>
      <c r="Y145" s="12"/>
      <c r="Z145" s="12">
        <v>0</v>
      </c>
      <c r="AA145" s="12"/>
      <c r="AB145" s="12">
        <v>0</v>
      </c>
      <c r="AC145" s="12"/>
      <c r="AD145" s="12">
        <f t="shared" si="2"/>
        <v>370038.07</v>
      </c>
    </row>
    <row r="146" spans="1:30" s="11" customFormat="1" ht="12">
      <c r="A146" s="11" t="s">
        <v>316</v>
      </c>
      <c r="C146" s="11" t="s">
        <v>111</v>
      </c>
      <c r="D146" s="11" t="s">
        <v>66</v>
      </c>
      <c r="F146" s="12">
        <v>2638628</v>
      </c>
      <c r="G146" s="12"/>
      <c r="H146" s="12">
        <v>3879829</v>
      </c>
      <c r="I146" s="12"/>
      <c r="J146" s="12">
        <v>0</v>
      </c>
      <c r="K146" s="12"/>
      <c r="L146" s="12">
        <v>128069</v>
      </c>
      <c r="M146" s="12"/>
      <c r="N146" s="12">
        <v>0</v>
      </c>
      <c r="O146" s="12"/>
      <c r="P146" s="12">
        <v>11077</v>
      </c>
      <c r="Q146" s="12"/>
      <c r="R146" s="12">
        <v>254919</v>
      </c>
      <c r="S146" s="12"/>
      <c r="T146" s="12">
        <v>97061</v>
      </c>
      <c r="U146" s="12"/>
      <c r="V146" s="12">
        <v>0</v>
      </c>
      <c r="W146" s="12"/>
      <c r="X146" s="12">
        <v>0</v>
      </c>
      <c r="Y146" s="12"/>
      <c r="Z146" s="12">
        <v>0</v>
      </c>
      <c r="AA146" s="12"/>
      <c r="AB146" s="12">
        <v>0</v>
      </c>
      <c r="AC146" s="12"/>
      <c r="AD146" s="12">
        <f t="shared" si="2"/>
        <v>7009583</v>
      </c>
    </row>
    <row r="147" spans="1:63" s="38" customFormat="1" ht="12">
      <c r="A147" s="11" t="s">
        <v>604</v>
      </c>
      <c r="B147" s="11"/>
      <c r="C147" s="12" t="s">
        <v>603</v>
      </c>
      <c r="D147" s="12"/>
      <c r="E147" s="11"/>
      <c r="F147" s="12">
        <v>0</v>
      </c>
      <c r="G147" s="12"/>
      <c r="H147" s="12">
        <v>874087.19</v>
      </c>
      <c r="I147" s="12"/>
      <c r="J147" s="12">
        <v>0</v>
      </c>
      <c r="K147" s="12"/>
      <c r="L147" s="12">
        <v>17271.79</v>
      </c>
      <c r="M147" s="12"/>
      <c r="N147" s="12">
        <v>0</v>
      </c>
      <c r="O147" s="12"/>
      <c r="P147" s="12">
        <v>1551.83</v>
      </c>
      <c r="Q147" s="12"/>
      <c r="R147" s="12">
        <v>37948.14</v>
      </c>
      <c r="S147" s="12"/>
      <c r="T147" s="12">
        <v>24899.59</v>
      </c>
      <c r="U147" s="12"/>
      <c r="V147" s="12">
        <v>0</v>
      </c>
      <c r="W147" s="12"/>
      <c r="X147" s="12">
        <v>0</v>
      </c>
      <c r="Y147" s="12"/>
      <c r="Z147" s="12">
        <v>0</v>
      </c>
      <c r="AA147" s="12"/>
      <c r="AB147" s="12">
        <v>0</v>
      </c>
      <c r="AC147" s="11"/>
      <c r="AD147" s="12">
        <f t="shared" si="2"/>
        <v>955758.5399999999</v>
      </c>
      <c r="AE147" s="36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</row>
    <row r="148" spans="1:30" s="11" customFormat="1" ht="12">
      <c r="A148" s="11" t="s">
        <v>105</v>
      </c>
      <c r="C148" s="11" t="s">
        <v>106</v>
      </c>
      <c r="D148" s="11" t="s">
        <v>46</v>
      </c>
      <c r="F148" s="12">
        <v>980133</v>
      </c>
      <c r="G148" s="12"/>
      <c r="H148" s="12">
        <v>2004884</v>
      </c>
      <c r="I148" s="12"/>
      <c r="J148" s="12">
        <v>0</v>
      </c>
      <c r="K148" s="12"/>
      <c r="L148" s="12">
        <v>92272</v>
      </c>
      <c r="M148" s="12"/>
      <c r="N148" s="12">
        <v>0</v>
      </c>
      <c r="O148" s="12"/>
      <c r="P148" s="12">
        <v>40409</v>
      </c>
      <c r="Q148" s="12"/>
      <c r="R148" s="12">
        <v>22165</v>
      </c>
      <c r="S148" s="12"/>
      <c r="T148" s="12">
        <v>3511</v>
      </c>
      <c r="U148" s="12"/>
      <c r="V148" s="12">
        <v>1350</v>
      </c>
      <c r="W148" s="12"/>
      <c r="X148" s="12">
        <v>0</v>
      </c>
      <c r="Y148" s="12"/>
      <c r="Z148" s="12">
        <v>0</v>
      </c>
      <c r="AA148" s="12"/>
      <c r="AB148" s="12">
        <v>0</v>
      </c>
      <c r="AC148" s="12"/>
      <c r="AD148" s="12">
        <f t="shared" si="2"/>
        <v>3144724</v>
      </c>
    </row>
    <row r="149" spans="1:30" s="11" customFormat="1" ht="12">
      <c r="A149" s="11" t="s">
        <v>317</v>
      </c>
      <c r="C149" s="11" t="s">
        <v>143</v>
      </c>
      <c r="D149" s="11" t="s">
        <v>49</v>
      </c>
      <c r="F149" s="12">
        <v>0</v>
      </c>
      <c r="G149" s="12"/>
      <c r="H149" s="12">
        <v>965177</v>
      </c>
      <c r="I149" s="12"/>
      <c r="J149" s="12">
        <v>0</v>
      </c>
      <c r="K149" s="12"/>
      <c r="L149" s="12">
        <v>11064</v>
      </c>
      <c r="M149" s="12"/>
      <c r="N149" s="12">
        <v>0</v>
      </c>
      <c r="O149" s="12"/>
      <c r="P149" s="12">
        <v>0</v>
      </c>
      <c r="Q149" s="12"/>
      <c r="R149" s="12">
        <v>11427</v>
      </c>
      <c r="S149" s="12"/>
      <c r="T149" s="12">
        <v>1220</v>
      </c>
      <c r="U149" s="12"/>
      <c r="V149" s="12">
        <v>0</v>
      </c>
      <c r="W149" s="12"/>
      <c r="X149" s="12">
        <v>0</v>
      </c>
      <c r="Y149" s="12"/>
      <c r="Z149" s="12">
        <v>0</v>
      </c>
      <c r="AA149" s="12"/>
      <c r="AB149" s="12">
        <v>0</v>
      </c>
      <c r="AC149" s="12"/>
      <c r="AD149" s="12">
        <f t="shared" si="2"/>
        <v>988888</v>
      </c>
    </row>
    <row r="150" spans="1:30" s="11" customFormat="1" ht="12">
      <c r="A150" s="11" t="s">
        <v>318</v>
      </c>
      <c r="C150" s="11" t="s">
        <v>101</v>
      </c>
      <c r="D150" s="11" t="s">
        <v>58</v>
      </c>
      <c r="F150" s="12">
        <v>0</v>
      </c>
      <c r="G150" s="12"/>
      <c r="H150" s="12">
        <v>5481189</v>
      </c>
      <c r="I150" s="12"/>
      <c r="J150" s="12">
        <v>0</v>
      </c>
      <c r="K150" s="12"/>
      <c r="L150" s="12">
        <v>229040</v>
      </c>
      <c r="M150" s="12"/>
      <c r="N150" s="12">
        <v>20303</v>
      </c>
      <c r="O150" s="12"/>
      <c r="P150" s="12">
        <v>3683</v>
      </c>
      <c r="Q150" s="12"/>
      <c r="R150" s="12">
        <v>268592</v>
      </c>
      <c r="S150" s="12"/>
      <c r="T150" s="12">
        <v>19634</v>
      </c>
      <c r="U150" s="12"/>
      <c r="V150" s="12">
        <v>0</v>
      </c>
      <c r="W150" s="12"/>
      <c r="X150" s="12">
        <v>0</v>
      </c>
      <c r="Y150" s="12"/>
      <c r="Z150" s="12">
        <v>0</v>
      </c>
      <c r="AA150" s="12"/>
      <c r="AB150" s="12">
        <v>0</v>
      </c>
      <c r="AC150" s="12"/>
      <c r="AD150" s="12">
        <f t="shared" si="2"/>
        <v>6022441</v>
      </c>
    </row>
    <row r="151" spans="6:30" s="11" customFormat="1" ht="12"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7" t="s">
        <v>98</v>
      </c>
    </row>
    <row r="152" spans="1:30" s="11" customFormat="1" ht="12">
      <c r="A152" s="11" t="s">
        <v>319</v>
      </c>
      <c r="C152" s="11" t="s">
        <v>278</v>
      </c>
      <c r="D152" s="11" t="s">
        <v>57</v>
      </c>
      <c r="F152" s="26">
        <v>0</v>
      </c>
      <c r="G152" s="26"/>
      <c r="H152" s="26">
        <v>419552.53</v>
      </c>
      <c r="I152" s="26"/>
      <c r="J152" s="26">
        <v>19038.68</v>
      </c>
      <c r="K152" s="26"/>
      <c r="L152" s="26">
        <v>18787.1</v>
      </c>
      <c r="M152" s="26"/>
      <c r="N152" s="26">
        <v>1212.3</v>
      </c>
      <c r="O152" s="26"/>
      <c r="P152" s="26">
        <v>1250.98</v>
      </c>
      <c r="Q152" s="26"/>
      <c r="R152" s="26">
        <v>24810.15</v>
      </c>
      <c r="S152" s="26"/>
      <c r="T152" s="26">
        <v>346.83</v>
      </c>
      <c r="U152" s="26"/>
      <c r="V152" s="26">
        <v>0</v>
      </c>
      <c r="W152" s="26"/>
      <c r="X152" s="26">
        <v>0</v>
      </c>
      <c r="Y152" s="26"/>
      <c r="Z152" s="26">
        <v>0</v>
      </c>
      <c r="AA152" s="26"/>
      <c r="AB152" s="26">
        <v>0</v>
      </c>
      <c r="AC152" s="26"/>
      <c r="AD152" s="26">
        <f t="shared" si="2"/>
        <v>484998.57</v>
      </c>
    </row>
    <row r="153" spans="1:30" s="11" customFormat="1" ht="12">
      <c r="A153" s="11" t="s">
        <v>320</v>
      </c>
      <c r="C153" s="11" t="s">
        <v>146</v>
      </c>
      <c r="D153" s="11" t="s">
        <v>82</v>
      </c>
      <c r="F153" s="12">
        <v>0</v>
      </c>
      <c r="G153" s="12"/>
      <c r="H153" s="12">
        <v>425860.06</v>
      </c>
      <c r="I153" s="12"/>
      <c r="J153" s="12">
        <v>0</v>
      </c>
      <c r="K153" s="12"/>
      <c r="L153" s="12">
        <v>12252.57</v>
      </c>
      <c r="M153" s="12"/>
      <c r="N153" s="12">
        <v>0</v>
      </c>
      <c r="O153" s="12"/>
      <c r="P153" s="12">
        <v>78484.04</v>
      </c>
      <c r="Q153" s="12"/>
      <c r="R153" s="12">
        <v>16640.42</v>
      </c>
      <c r="S153" s="12"/>
      <c r="T153" s="12">
        <v>15802.85</v>
      </c>
      <c r="U153" s="12"/>
      <c r="V153" s="12">
        <v>0</v>
      </c>
      <c r="W153" s="12"/>
      <c r="X153" s="12">
        <v>0</v>
      </c>
      <c r="Y153" s="12"/>
      <c r="Z153" s="12">
        <v>0</v>
      </c>
      <c r="AA153" s="12"/>
      <c r="AB153" s="12">
        <v>0</v>
      </c>
      <c r="AC153" s="12"/>
      <c r="AD153" s="12">
        <f t="shared" si="2"/>
        <v>549039.94</v>
      </c>
    </row>
    <row r="154" spans="1:30" s="11" customFormat="1" ht="12">
      <c r="A154" s="11" t="s">
        <v>321</v>
      </c>
      <c r="C154" s="11" t="s">
        <v>116</v>
      </c>
      <c r="D154" s="11" t="s">
        <v>65</v>
      </c>
      <c r="F154" s="12">
        <v>0</v>
      </c>
      <c r="G154" s="12"/>
      <c r="H154" s="12">
        <v>823984.86</v>
      </c>
      <c r="I154" s="12"/>
      <c r="J154" s="12">
        <v>0</v>
      </c>
      <c r="K154" s="12"/>
      <c r="L154" s="12">
        <v>23002.54</v>
      </c>
      <c r="M154" s="12"/>
      <c r="N154" s="12">
        <v>0</v>
      </c>
      <c r="O154" s="12"/>
      <c r="P154" s="12">
        <v>5200.81</v>
      </c>
      <c r="Q154" s="12"/>
      <c r="R154" s="12">
        <v>5253.54</v>
      </c>
      <c r="S154" s="12"/>
      <c r="T154" s="12">
        <v>2772.52</v>
      </c>
      <c r="U154" s="12"/>
      <c r="V154" s="12">
        <v>0</v>
      </c>
      <c r="W154" s="12"/>
      <c r="X154" s="12">
        <v>0</v>
      </c>
      <c r="Y154" s="12"/>
      <c r="Z154" s="12">
        <v>0</v>
      </c>
      <c r="AA154" s="12"/>
      <c r="AB154" s="12">
        <v>0</v>
      </c>
      <c r="AC154" s="12"/>
      <c r="AD154" s="12">
        <f t="shared" si="2"/>
        <v>860214.2700000001</v>
      </c>
    </row>
    <row r="155" spans="1:30" s="11" customFormat="1" ht="12">
      <c r="A155" s="11" t="s">
        <v>464</v>
      </c>
      <c r="C155" s="11" t="s">
        <v>156</v>
      </c>
      <c r="D155" s="11" t="s">
        <v>43</v>
      </c>
      <c r="F155" s="12">
        <v>0</v>
      </c>
      <c r="G155" s="12"/>
      <c r="H155" s="12">
        <v>226001.35</v>
      </c>
      <c r="I155" s="12"/>
      <c r="J155" s="12">
        <v>0</v>
      </c>
      <c r="K155" s="12"/>
      <c r="L155" s="12">
        <v>8804.02</v>
      </c>
      <c r="M155" s="12"/>
      <c r="N155" s="12">
        <v>0</v>
      </c>
      <c r="O155" s="12"/>
      <c r="P155" s="12">
        <v>7807.89</v>
      </c>
      <c r="Q155" s="12"/>
      <c r="R155" s="12">
        <v>1255.1</v>
      </c>
      <c r="S155" s="12"/>
      <c r="T155" s="12">
        <v>718.66</v>
      </c>
      <c r="U155" s="12"/>
      <c r="V155" s="12">
        <v>0</v>
      </c>
      <c r="W155" s="12"/>
      <c r="X155" s="12">
        <v>0</v>
      </c>
      <c r="Y155" s="12"/>
      <c r="Z155" s="12">
        <v>0</v>
      </c>
      <c r="AA155" s="12"/>
      <c r="AB155" s="12">
        <v>0</v>
      </c>
      <c r="AC155" s="12"/>
      <c r="AD155" s="12">
        <f t="shared" si="2"/>
        <v>244587.02000000002</v>
      </c>
    </row>
    <row r="156" spans="1:30" s="11" customFormat="1" ht="12">
      <c r="A156" s="11" t="s">
        <v>323</v>
      </c>
      <c r="C156" s="11" t="s">
        <v>117</v>
      </c>
      <c r="D156" s="11" t="s">
        <v>44</v>
      </c>
      <c r="F156" s="12">
        <v>0</v>
      </c>
      <c r="G156" s="12"/>
      <c r="H156" s="12">
        <v>0</v>
      </c>
      <c r="I156" s="12"/>
      <c r="J156" s="12">
        <v>0</v>
      </c>
      <c r="K156" s="12"/>
      <c r="L156" s="12">
        <v>1911</v>
      </c>
      <c r="M156" s="12"/>
      <c r="N156" s="12">
        <v>0</v>
      </c>
      <c r="O156" s="12"/>
      <c r="P156" s="12">
        <v>200</v>
      </c>
      <c r="Q156" s="12"/>
      <c r="R156" s="12">
        <v>266</v>
      </c>
      <c r="S156" s="12"/>
      <c r="T156" s="12">
        <v>0</v>
      </c>
      <c r="U156" s="12"/>
      <c r="V156" s="12">
        <v>0</v>
      </c>
      <c r="W156" s="12"/>
      <c r="X156" s="12">
        <v>0</v>
      </c>
      <c r="Y156" s="12"/>
      <c r="Z156" s="12">
        <v>16893</v>
      </c>
      <c r="AA156" s="12"/>
      <c r="AB156" s="12">
        <v>0</v>
      </c>
      <c r="AC156" s="12"/>
      <c r="AD156" s="12">
        <f t="shared" si="2"/>
        <v>19270</v>
      </c>
    </row>
    <row r="157" spans="1:30" s="11" customFormat="1" ht="12">
      <c r="A157" s="11" t="s">
        <v>324</v>
      </c>
      <c r="C157" s="11" t="s">
        <v>157</v>
      </c>
      <c r="D157" s="11" t="s">
        <v>96</v>
      </c>
      <c r="F157" s="12">
        <v>0</v>
      </c>
      <c r="G157" s="12"/>
      <c r="H157" s="12">
        <v>0</v>
      </c>
      <c r="I157" s="12"/>
      <c r="J157" s="12">
        <v>0</v>
      </c>
      <c r="K157" s="12"/>
      <c r="L157" s="12">
        <v>18490</v>
      </c>
      <c r="M157" s="12"/>
      <c r="N157" s="12">
        <v>0</v>
      </c>
      <c r="O157" s="12"/>
      <c r="P157" s="12">
        <v>0</v>
      </c>
      <c r="Q157" s="12"/>
      <c r="R157" s="12">
        <v>0</v>
      </c>
      <c r="S157" s="12"/>
      <c r="T157" s="12">
        <v>0</v>
      </c>
      <c r="U157" s="12"/>
      <c r="V157" s="12">
        <v>0</v>
      </c>
      <c r="W157" s="12"/>
      <c r="X157" s="12">
        <v>0</v>
      </c>
      <c r="Y157" s="12"/>
      <c r="Z157" s="12">
        <v>0</v>
      </c>
      <c r="AA157" s="12"/>
      <c r="AB157" s="12">
        <v>0</v>
      </c>
      <c r="AC157" s="12"/>
      <c r="AD157" s="12">
        <f t="shared" si="2"/>
        <v>18490</v>
      </c>
    </row>
    <row r="158" spans="1:30" s="26" customFormat="1" ht="12">
      <c r="A158" s="26" t="s">
        <v>325</v>
      </c>
      <c r="C158" s="26" t="s">
        <v>185</v>
      </c>
      <c r="D158" s="26" t="s">
        <v>15</v>
      </c>
      <c r="F158" s="12">
        <v>122097</v>
      </c>
      <c r="G158" s="12"/>
      <c r="H158" s="12">
        <v>0</v>
      </c>
      <c r="I158" s="12"/>
      <c r="J158" s="12">
        <v>0</v>
      </c>
      <c r="K158" s="12"/>
      <c r="L158" s="12">
        <v>3223</v>
      </c>
      <c r="M158" s="12"/>
      <c r="N158" s="12">
        <v>0</v>
      </c>
      <c r="O158" s="12"/>
      <c r="P158" s="12">
        <v>3870</v>
      </c>
      <c r="Q158" s="12"/>
      <c r="R158" s="12">
        <v>7736</v>
      </c>
      <c r="S158" s="12"/>
      <c r="T158" s="12">
        <v>39</v>
      </c>
      <c r="U158" s="12"/>
      <c r="V158" s="12">
        <v>0</v>
      </c>
      <c r="W158" s="12"/>
      <c r="X158" s="12">
        <v>0</v>
      </c>
      <c r="Y158" s="12"/>
      <c r="Z158" s="12">
        <v>0</v>
      </c>
      <c r="AA158" s="12"/>
      <c r="AB158" s="12">
        <v>0</v>
      </c>
      <c r="AC158" s="12"/>
      <c r="AD158" s="12">
        <f aca="true" t="shared" si="3" ref="AD158:AD164">SUM(F158:AB158)</f>
        <v>136965</v>
      </c>
    </row>
    <row r="159" spans="1:30" s="11" customFormat="1" ht="12">
      <c r="A159" s="11" t="s">
        <v>326</v>
      </c>
      <c r="C159" s="11" t="s">
        <v>327</v>
      </c>
      <c r="D159" s="11" t="s">
        <v>67</v>
      </c>
      <c r="F159" s="12">
        <v>0</v>
      </c>
      <c r="G159" s="12"/>
      <c r="H159" s="12">
        <v>271350</v>
      </c>
      <c r="I159" s="12"/>
      <c r="J159" s="12">
        <v>0</v>
      </c>
      <c r="K159" s="12"/>
      <c r="L159" s="12">
        <v>8158</v>
      </c>
      <c r="M159" s="12"/>
      <c r="N159" s="12">
        <v>0</v>
      </c>
      <c r="O159" s="12"/>
      <c r="P159" s="12">
        <v>690</v>
      </c>
      <c r="Q159" s="12"/>
      <c r="R159" s="12">
        <v>28795</v>
      </c>
      <c r="S159" s="12"/>
      <c r="T159" s="12">
        <v>1505</v>
      </c>
      <c r="U159" s="12"/>
      <c r="V159" s="12">
        <v>0</v>
      </c>
      <c r="W159" s="12"/>
      <c r="X159" s="12">
        <v>0</v>
      </c>
      <c r="Y159" s="12"/>
      <c r="Z159" s="12">
        <v>0</v>
      </c>
      <c r="AA159" s="12"/>
      <c r="AB159" s="12">
        <v>0</v>
      </c>
      <c r="AC159" s="12"/>
      <c r="AD159" s="12">
        <f t="shared" si="3"/>
        <v>310498</v>
      </c>
    </row>
    <row r="160" spans="1:30" s="11" customFormat="1" ht="12">
      <c r="A160" s="11" t="s">
        <v>328</v>
      </c>
      <c r="C160" s="11" t="s">
        <v>106</v>
      </c>
      <c r="D160" s="11" t="s">
        <v>46</v>
      </c>
      <c r="F160" s="12">
        <v>817598</v>
      </c>
      <c r="G160" s="12"/>
      <c r="H160" s="12">
        <v>1629473</v>
      </c>
      <c r="I160" s="12"/>
      <c r="J160" s="12">
        <v>118387</v>
      </c>
      <c r="K160" s="12"/>
      <c r="L160" s="12">
        <v>77906</v>
      </c>
      <c r="M160" s="12"/>
      <c r="N160" s="12">
        <v>0</v>
      </c>
      <c r="O160" s="12"/>
      <c r="P160" s="12">
        <v>9203</v>
      </c>
      <c r="Q160" s="12"/>
      <c r="R160" s="12">
        <v>18225</v>
      </c>
      <c r="S160" s="12"/>
      <c r="T160" s="12">
        <v>3813</v>
      </c>
      <c r="U160" s="12"/>
      <c r="V160" s="12">
        <v>0</v>
      </c>
      <c r="W160" s="12"/>
      <c r="X160" s="12">
        <v>0</v>
      </c>
      <c r="Y160" s="12"/>
      <c r="Z160" s="12">
        <v>0</v>
      </c>
      <c r="AA160" s="12"/>
      <c r="AB160" s="12">
        <v>0</v>
      </c>
      <c r="AC160" s="12"/>
      <c r="AD160" s="12">
        <f t="shared" si="3"/>
        <v>2674605</v>
      </c>
    </row>
    <row r="161" spans="1:30" s="11" customFormat="1" ht="12">
      <c r="A161" s="11" t="s">
        <v>329</v>
      </c>
      <c r="C161" s="11" t="s">
        <v>161</v>
      </c>
      <c r="D161" s="11" t="s">
        <v>32</v>
      </c>
      <c r="F161" s="12">
        <v>0</v>
      </c>
      <c r="G161" s="12"/>
      <c r="H161" s="12">
        <v>304464</v>
      </c>
      <c r="I161" s="12"/>
      <c r="J161" s="12">
        <v>0</v>
      </c>
      <c r="K161" s="12"/>
      <c r="L161" s="12">
        <v>11532</v>
      </c>
      <c r="M161" s="12"/>
      <c r="N161" s="12">
        <v>6355</v>
      </c>
      <c r="O161" s="12"/>
      <c r="P161" s="12">
        <v>2624</v>
      </c>
      <c r="Q161" s="12"/>
      <c r="R161" s="12">
        <v>27885</v>
      </c>
      <c r="S161" s="12"/>
      <c r="T161" s="12">
        <v>309</v>
      </c>
      <c r="U161" s="12"/>
      <c r="V161" s="12">
        <v>0</v>
      </c>
      <c r="W161" s="12"/>
      <c r="X161" s="12">
        <v>0</v>
      </c>
      <c r="Y161" s="12"/>
      <c r="Z161" s="12">
        <v>0</v>
      </c>
      <c r="AA161" s="12"/>
      <c r="AB161" s="12">
        <v>0</v>
      </c>
      <c r="AC161" s="12"/>
      <c r="AD161" s="12">
        <f t="shared" si="3"/>
        <v>353169</v>
      </c>
    </row>
    <row r="162" spans="1:30" s="11" customFormat="1" ht="12">
      <c r="A162" s="11" t="s">
        <v>330</v>
      </c>
      <c r="C162" s="11" t="s">
        <v>103</v>
      </c>
      <c r="D162" s="11" t="s">
        <v>61</v>
      </c>
      <c r="F162" s="12">
        <v>0</v>
      </c>
      <c r="G162" s="12"/>
      <c r="H162" s="12">
        <v>231733.2</v>
      </c>
      <c r="I162" s="12"/>
      <c r="J162" s="12">
        <v>0</v>
      </c>
      <c r="K162" s="12"/>
      <c r="L162" s="12">
        <v>4443.27</v>
      </c>
      <c r="M162" s="12"/>
      <c r="N162" s="12">
        <v>0</v>
      </c>
      <c r="O162" s="12"/>
      <c r="P162" s="12">
        <v>622.97</v>
      </c>
      <c r="Q162" s="12"/>
      <c r="R162" s="12">
        <v>2298.97</v>
      </c>
      <c r="S162" s="12"/>
      <c r="T162" s="12">
        <v>13295.6</v>
      </c>
      <c r="U162" s="12"/>
      <c r="V162" s="12">
        <v>0</v>
      </c>
      <c r="W162" s="12"/>
      <c r="X162" s="12">
        <v>0</v>
      </c>
      <c r="Y162" s="12"/>
      <c r="Z162" s="12">
        <v>0</v>
      </c>
      <c r="AA162" s="12"/>
      <c r="AB162" s="12">
        <v>447</v>
      </c>
      <c r="AC162" s="12"/>
      <c r="AD162" s="12">
        <f t="shared" si="3"/>
        <v>252841.01</v>
      </c>
    </row>
    <row r="163" spans="1:30" s="11" customFormat="1" ht="12">
      <c r="A163" s="11" t="s">
        <v>601</v>
      </c>
      <c r="C163" s="11" t="s">
        <v>107</v>
      </c>
      <c r="F163" s="12">
        <v>171983</v>
      </c>
      <c r="G163" s="12"/>
      <c r="H163" s="12">
        <v>0</v>
      </c>
      <c r="I163" s="12"/>
      <c r="J163" s="12">
        <v>1635203</v>
      </c>
      <c r="K163" s="12"/>
      <c r="L163" s="12">
        <v>0</v>
      </c>
      <c r="M163" s="12"/>
      <c r="N163" s="12">
        <v>45087</v>
      </c>
      <c r="O163" s="12"/>
      <c r="P163" s="12">
        <v>0</v>
      </c>
      <c r="Q163" s="12"/>
      <c r="R163" s="12">
        <v>41126</v>
      </c>
      <c r="S163" s="12"/>
      <c r="T163" s="12">
        <v>13677</v>
      </c>
      <c r="U163" s="12"/>
      <c r="V163" s="12">
        <v>0</v>
      </c>
      <c r="W163" s="12"/>
      <c r="X163" s="12">
        <v>0</v>
      </c>
      <c r="Y163" s="12"/>
      <c r="Z163" s="12">
        <v>0</v>
      </c>
      <c r="AA163" s="12"/>
      <c r="AB163" s="12">
        <v>0</v>
      </c>
      <c r="AC163" s="12"/>
      <c r="AD163" s="12">
        <f>SUM(F163:AB163)</f>
        <v>1907076</v>
      </c>
    </row>
    <row r="164" spans="1:30" s="11" customFormat="1" ht="12">
      <c r="A164" s="11" t="s">
        <v>331</v>
      </c>
      <c r="C164" s="11" t="s">
        <v>332</v>
      </c>
      <c r="D164" s="11" t="s">
        <v>68</v>
      </c>
      <c r="F164" s="12">
        <v>0</v>
      </c>
      <c r="G164" s="12"/>
      <c r="H164" s="12">
        <v>0</v>
      </c>
      <c r="I164" s="12"/>
      <c r="J164" s="12">
        <v>3147987</v>
      </c>
      <c r="K164" s="12"/>
      <c r="L164" s="12">
        <v>117762</v>
      </c>
      <c r="M164" s="12"/>
      <c r="N164" s="12">
        <v>0</v>
      </c>
      <c r="O164" s="12"/>
      <c r="P164" s="12">
        <v>16341</v>
      </c>
      <c r="Q164" s="12"/>
      <c r="R164" s="12">
        <v>58602</v>
      </c>
      <c r="S164" s="12"/>
      <c r="T164" s="12">
        <f>7800+10506</f>
        <v>18306</v>
      </c>
      <c r="U164" s="12"/>
      <c r="V164" s="12">
        <v>0</v>
      </c>
      <c r="W164" s="12"/>
      <c r="X164" s="12">
        <v>0</v>
      </c>
      <c r="Y164" s="12"/>
      <c r="Z164" s="12">
        <v>0</v>
      </c>
      <c r="AA164" s="12"/>
      <c r="AB164" s="12">
        <v>0</v>
      </c>
      <c r="AC164" s="12"/>
      <c r="AD164" s="12">
        <f t="shared" si="3"/>
        <v>3358998</v>
      </c>
    </row>
    <row r="165" spans="1:30" s="11" customFormat="1" ht="12">
      <c r="A165" s="11" t="s">
        <v>465</v>
      </c>
      <c r="C165" s="11" t="s">
        <v>153</v>
      </c>
      <c r="D165" s="11" t="s">
        <v>12</v>
      </c>
      <c r="F165" s="12">
        <v>235626</v>
      </c>
      <c r="G165" s="12"/>
      <c r="H165" s="12">
        <v>549433</v>
      </c>
      <c r="I165" s="12"/>
      <c r="J165" s="12">
        <v>0</v>
      </c>
      <c r="K165" s="12"/>
      <c r="L165" s="12">
        <v>13070</v>
      </c>
      <c r="M165" s="12"/>
      <c r="N165" s="12">
        <v>0</v>
      </c>
      <c r="O165" s="12"/>
      <c r="P165" s="12">
        <v>2268</v>
      </c>
      <c r="Q165" s="12"/>
      <c r="R165" s="12">
        <v>34939</v>
      </c>
      <c r="S165" s="12"/>
      <c r="T165" s="12">
        <v>3541</v>
      </c>
      <c r="U165" s="12"/>
      <c r="V165" s="12">
        <v>0</v>
      </c>
      <c r="W165" s="12"/>
      <c r="X165" s="12">
        <v>0</v>
      </c>
      <c r="Y165" s="12"/>
      <c r="Z165" s="12">
        <v>0</v>
      </c>
      <c r="AA165" s="12"/>
      <c r="AB165" s="12">
        <v>0</v>
      </c>
      <c r="AC165" s="12"/>
      <c r="AD165" s="12">
        <f aca="true" t="shared" si="4" ref="AD165:AD198">SUM(F165:AB165)</f>
        <v>838877</v>
      </c>
    </row>
    <row r="166" spans="1:30" s="11" customFormat="1" ht="12">
      <c r="A166" s="11" t="s">
        <v>333</v>
      </c>
      <c r="C166" s="11" t="s">
        <v>334</v>
      </c>
      <c r="D166" s="11" t="s">
        <v>13</v>
      </c>
      <c r="F166" s="12">
        <v>0</v>
      </c>
      <c r="G166" s="12"/>
      <c r="H166" s="12">
        <v>0</v>
      </c>
      <c r="I166" s="12"/>
      <c r="J166" s="12">
        <v>2208956</v>
      </c>
      <c r="K166" s="12"/>
      <c r="L166" s="12">
        <v>35104</v>
      </c>
      <c r="M166" s="12"/>
      <c r="N166" s="12">
        <v>0</v>
      </c>
      <c r="O166" s="12"/>
      <c r="P166" s="12">
        <v>2448</v>
      </c>
      <c r="Q166" s="12"/>
      <c r="R166" s="12">
        <v>2185</v>
      </c>
      <c r="S166" s="12"/>
      <c r="T166" s="12">
        <v>12880</v>
      </c>
      <c r="U166" s="12"/>
      <c r="V166" s="12">
        <v>0</v>
      </c>
      <c r="W166" s="12"/>
      <c r="X166" s="12">
        <v>0</v>
      </c>
      <c r="Y166" s="12"/>
      <c r="Z166" s="12">
        <v>0</v>
      </c>
      <c r="AA166" s="12"/>
      <c r="AB166" s="12">
        <v>0</v>
      </c>
      <c r="AC166" s="12"/>
      <c r="AD166" s="12">
        <f t="shared" si="4"/>
        <v>2261573</v>
      </c>
    </row>
    <row r="167" spans="1:30" s="11" customFormat="1" ht="12">
      <c r="A167" s="11" t="s">
        <v>335</v>
      </c>
      <c r="C167" s="11" t="s">
        <v>215</v>
      </c>
      <c r="D167" s="11" t="s">
        <v>14</v>
      </c>
      <c r="F167" s="12">
        <v>0</v>
      </c>
      <c r="G167" s="12"/>
      <c r="H167" s="12">
        <v>588851</v>
      </c>
      <c r="I167" s="12"/>
      <c r="J167" s="12">
        <v>12000</v>
      </c>
      <c r="K167" s="12"/>
      <c r="L167" s="12">
        <v>19180</v>
      </c>
      <c r="M167" s="12"/>
      <c r="N167" s="12">
        <v>0</v>
      </c>
      <c r="O167" s="12"/>
      <c r="P167" s="12">
        <v>8036</v>
      </c>
      <c r="Q167" s="12"/>
      <c r="R167" s="12">
        <v>2762</v>
      </c>
      <c r="S167" s="12"/>
      <c r="T167" s="12">
        <v>9176</v>
      </c>
      <c r="U167" s="12"/>
      <c r="V167" s="12">
        <v>0</v>
      </c>
      <c r="W167" s="12"/>
      <c r="X167" s="12">
        <v>0</v>
      </c>
      <c r="Y167" s="12"/>
      <c r="Z167" s="12">
        <v>0</v>
      </c>
      <c r="AA167" s="12"/>
      <c r="AB167" s="12">
        <v>0</v>
      </c>
      <c r="AC167" s="12"/>
      <c r="AD167" s="12">
        <f t="shared" si="4"/>
        <v>640005</v>
      </c>
    </row>
    <row r="168" spans="1:30" s="11" customFormat="1" ht="12">
      <c r="A168" s="11" t="s">
        <v>336</v>
      </c>
      <c r="C168" s="11" t="s">
        <v>185</v>
      </c>
      <c r="D168" s="11" t="s">
        <v>15</v>
      </c>
      <c r="F168" s="12">
        <v>260556</v>
      </c>
      <c r="G168" s="12"/>
      <c r="H168" s="12">
        <v>0</v>
      </c>
      <c r="I168" s="12"/>
      <c r="J168" s="12">
        <v>0</v>
      </c>
      <c r="K168" s="12"/>
      <c r="L168" s="12">
        <v>8999</v>
      </c>
      <c r="M168" s="12"/>
      <c r="N168" s="12">
        <v>0</v>
      </c>
      <c r="O168" s="12"/>
      <c r="P168" s="12">
        <v>1186</v>
      </c>
      <c r="Q168" s="12"/>
      <c r="R168" s="12">
        <v>20082</v>
      </c>
      <c r="S168" s="12"/>
      <c r="T168" s="12">
        <v>8715</v>
      </c>
      <c r="U168" s="12"/>
      <c r="V168" s="12">
        <v>0</v>
      </c>
      <c r="W168" s="12"/>
      <c r="X168" s="12">
        <v>0</v>
      </c>
      <c r="Y168" s="12"/>
      <c r="Z168" s="12">
        <v>0</v>
      </c>
      <c r="AA168" s="12"/>
      <c r="AB168" s="12">
        <v>0</v>
      </c>
      <c r="AC168" s="12"/>
      <c r="AD168" s="12">
        <f t="shared" si="4"/>
        <v>299538</v>
      </c>
    </row>
    <row r="169" spans="1:30" s="11" customFormat="1" ht="12">
      <c r="A169" s="11" t="s">
        <v>337</v>
      </c>
      <c r="C169" s="11" t="s">
        <v>174</v>
      </c>
      <c r="D169" s="11" t="s">
        <v>86</v>
      </c>
      <c r="F169" s="12">
        <v>0</v>
      </c>
      <c r="G169" s="12"/>
      <c r="H169" s="12">
        <v>324735.37</v>
      </c>
      <c r="I169" s="12"/>
      <c r="J169" s="12">
        <v>0</v>
      </c>
      <c r="K169" s="12"/>
      <c r="L169" s="12">
        <v>4503.25</v>
      </c>
      <c r="M169" s="12"/>
      <c r="N169" s="12">
        <v>0</v>
      </c>
      <c r="O169" s="12"/>
      <c r="P169" s="12">
        <v>500</v>
      </c>
      <c r="Q169" s="12"/>
      <c r="R169" s="12">
        <v>1117.89</v>
      </c>
      <c r="S169" s="12"/>
      <c r="T169" s="12">
        <v>634.72</v>
      </c>
      <c r="U169" s="12"/>
      <c r="V169" s="12">
        <v>0</v>
      </c>
      <c r="W169" s="12"/>
      <c r="X169" s="12">
        <v>0</v>
      </c>
      <c r="Y169" s="12"/>
      <c r="Z169" s="12">
        <v>0</v>
      </c>
      <c r="AA169" s="12"/>
      <c r="AB169" s="12">
        <v>0</v>
      </c>
      <c r="AC169" s="12"/>
      <c r="AD169" s="12">
        <f t="shared" si="4"/>
        <v>331491.23</v>
      </c>
    </row>
    <row r="170" spans="1:30" s="11" customFormat="1" ht="12">
      <c r="A170" s="11" t="s">
        <v>338</v>
      </c>
      <c r="C170" s="11" t="s">
        <v>159</v>
      </c>
      <c r="D170" s="11" t="s">
        <v>69</v>
      </c>
      <c r="F170" s="12">
        <v>0</v>
      </c>
      <c r="G170" s="12"/>
      <c r="H170" s="12">
        <v>121675.32</v>
      </c>
      <c r="I170" s="12"/>
      <c r="J170" s="12">
        <v>0</v>
      </c>
      <c r="K170" s="12"/>
      <c r="L170" s="12">
        <v>3042.84</v>
      </c>
      <c r="M170" s="12"/>
      <c r="N170" s="12">
        <v>0</v>
      </c>
      <c r="O170" s="12"/>
      <c r="P170" s="12">
        <v>262.59</v>
      </c>
      <c r="Q170" s="12"/>
      <c r="R170" s="12">
        <v>94.88</v>
      </c>
      <c r="S170" s="12"/>
      <c r="T170" s="12">
        <v>18750.04</v>
      </c>
      <c r="U170" s="12"/>
      <c r="V170" s="12">
        <v>347.58</v>
      </c>
      <c r="W170" s="12"/>
      <c r="X170" s="12">
        <v>0</v>
      </c>
      <c r="Y170" s="12"/>
      <c r="Z170" s="12">
        <v>0</v>
      </c>
      <c r="AA170" s="12"/>
      <c r="AB170" s="12">
        <v>0</v>
      </c>
      <c r="AC170" s="12"/>
      <c r="AD170" s="12">
        <f t="shared" si="4"/>
        <v>144173.25</v>
      </c>
    </row>
    <row r="171" spans="1:30" s="11" customFormat="1" ht="12">
      <c r="A171" s="11" t="s">
        <v>339</v>
      </c>
      <c r="C171" s="11" t="s">
        <v>134</v>
      </c>
      <c r="D171" s="11" t="s">
        <v>16</v>
      </c>
      <c r="F171" s="12">
        <v>0</v>
      </c>
      <c r="G171" s="12"/>
      <c r="H171" s="12">
        <v>3112958</v>
      </c>
      <c r="I171" s="12"/>
      <c r="J171" s="12">
        <v>0</v>
      </c>
      <c r="K171" s="12"/>
      <c r="L171" s="12">
        <v>147640</v>
      </c>
      <c r="M171" s="12"/>
      <c r="N171" s="12">
        <v>22503</v>
      </c>
      <c r="O171" s="12"/>
      <c r="P171" s="12">
        <v>2131</v>
      </c>
      <c r="Q171" s="12"/>
      <c r="R171" s="12">
        <v>34781</v>
      </c>
      <c r="S171" s="12"/>
      <c r="T171" s="12">
        <v>46212</v>
      </c>
      <c r="U171" s="12"/>
      <c r="V171" s="12">
        <v>0</v>
      </c>
      <c r="W171" s="12"/>
      <c r="X171" s="12">
        <v>1075000</v>
      </c>
      <c r="Y171" s="12"/>
      <c r="Z171" s="12">
        <v>0</v>
      </c>
      <c r="AA171" s="12"/>
      <c r="AB171" s="12">
        <v>0</v>
      </c>
      <c r="AC171" s="12"/>
      <c r="AD171" s="12">
        <f t="shared" si="4"/>
        <v>4441225</v>
      </c>
    </row>
    <row r="172" spans="1:30" s="11" customFormat="1" ht="12">
      <c r="A172" s="11" t="s">
        <v>340</v>
      </c>
      <c r="C172" s="11" t="s">
        <v>117</v>
      </c>
      <c r="D172" s="11" t="s">
        <v>44</v>
      </c>
      <c r="F172" s="12">
        <v>0</v>
      </c>
      <c r="G172" s="12"/>
      <c r="H172" s="12">
        <v>311765.54</v>
      </c>
      <c r="I172" s="12"/>
      <c r="J172" s="12">
        <v>5249.82</v>
      </c>
      <c r="K172" s="12"/>
      <c r="L172" s="12">
        <v>9173.19</v>
      </c>
      <c r="M172" s="12"/>
      <c r="N172" s="12">
        <v>0</v>
      </c>
      <c r="O172" s="12"/>
      <c r="P172" s="12">
        <v>152.91</v>
      </c>
      <c r="Q172" s="12"/>
      <c r="R172" s="12">
        <v>513.46</v>
      </c>
      <c r="S172" s="12"/>
      <c r="T172" s="12">
        <v>11838.86</v>
      </c>
      <c r="U172" s="12"/>
      <c r="V172" s="12">
        <v>438</v>
      </c>
      <c r="W172" s="12"/>
      <c r="X172" s="12">
        <v>0</v>
      </c>
      <c r="Y172" s="12"/>
      <c r="Z172" s="12">
        <v>0</v>
      </c>
      <c r="AA172" s="12"/>
      <c r="AB172" s="12">
        <v>0</v>
      </c>
      <c r="AC172" s="12"/>
      <c r="AD172" s="12">
        <f t="shared" si="4"/>
        <v>339131.77999999997</v>
      </c>
    </row>
    <row r="173" spans="1:30" s="11" customFormat="1" ht="12">
      <c r="A173" s="11" t="s">
        <v>341</v>
      </c>
      <c r="C173" s="11" t="s">
        <v>149</v>
      </c>
      <c r="D173" s="11" t="s">
        <v>29</v>
      </c>
      <c r="F173" s="12">
        <v>104160</v>
      </c>
      <c r="G173" s="12"/>
      <c r="H173" s="12">
        <v>659266</v>
      </c>
      <c r="I173" s="12"/>
      <c r="J173" s="12">
        <v>13735</v>
      </c>
      <c r="K173" s="12"/>
      <c r="L173" s="12">
        <v>12329</v>
      </c>
      <c r="M173" s="12"/>
      <c r="N173" s="12">
        <v>0</v>
      </c>
      <c r="O173" s="12"/>
      <c r="P173" s="12">
        <v>4100</v>
      </c>
      <c r="Q173" s="12"/>
      <c r="R173" s="12">
        <v>7541</v>
      </c>
      <c r="S173" s="12"/>
      <c r="T173" s="12">
        <v>5282</v>
      </c>
      <c r="U173" s="12"/>
      <c r="V173" s="12">
        <v>0</v>
      </c>
      <c r="W173" s="12"/>
      <c r="X173" s="12">
        <v>0</v>
      </c>
      <c r="Y173" s="12"/>
      <c r="Z173" s="12">
        <v>0</v>
      </c>
      <c r="AA173" s="12"/>
      <c r="AB173" s="12">
        <v>0</v>
      </c>
      <c r="AC173" s="12"/>
      <c r="AD173" s="12">
        <f t="shared" si="4"/>
        <v>806413</v>
      </c>
    </row>
    <row r="174" spans="1:30" s="11" customFormat="1" ht="12">
      <c r="A174" s="11" t="s">
        <v>342</v>
      </c>
      <c r="C174" s="11" t="s">
        <v>343</v>
      </c>
      <c r="D174" s="11" t="s">
        <v>70</v>
      </c>
      <c r="F174" s="12">
        <v>0</v>
      </c>
      <c r="G174" s="12"/>
      <c r="H174" s="12">
        <v>0</v>
      </c>
      <c r="I174" s="12"/>
      <c r="J174" s="12">
        <v>346018</v>
      </c>
      <c r="K174" s="12"/>
      <c r="L174" s="12">
        <v>142177</v>
      </c>
      <c r="M174" s="12"/>
      <c r="N174" s="12">
        <v>0</v>
      </c>
      <c r="O174" s="12"/>
      <c r="P174" s="12">
        <v>0</v>
      </c>
      <c r="Q174" s="12"/>
      <c r="R174" s="12">
        <v>45683</v>
      </c>
      <c r="S174" s="12"/>
      <c r="T174" s="12">
        <v>34119</v>
      </c>
      <c r="U174" s="12"/>
      <c r="V174" s="12">
        <v>0</v>
      </c>
      <c r="W174" s="12"/>
      <c r="X174" s="12">
        <v>3690</v>
      </c>
      <c r="Y174" s="12"/>
      <c r="Z174" s="12">
        <v>0</v>
      </c>
      <c r="AA174" s="12"/>
      <c r="AB174" s="12">
        <v>0</v>
      </c>
      <c r="AC174" s="12"/>
      <c r="AD174" s="12">
        <f t="shared" si="4"/>
        <v>571687</v>
      </c>
    </row>
    <row r="175" spans="1:30" s="11" customFormat="1" ht="12">
      <c r="A175" s="11" t="s">
        <v>344</v>
      </c>
      <c r="C175" s="11" t="s">
        <v>135</v>
      </c>
      <c r="D175" s="11" t="s">
        <v>87</v>
      </c>
      <c r="F175" s="12">
        <v>0</v>
      </c>
      <c r="G175" s="12"/>
      <c r="H175" s="12">
        <v>154907.47</v>
      </c>
      <c r="I175" s="12"/>
      <c r="J175" s="12">
        <v>0</v>
      </c>
      <c r="K175" s="12"/>
      <c r="L175" s="12">
        <v>5232.04</v>
      </c>
      <c r="M175" s="12"/>
      <c r="N175" s="12">
        <v>6000</v>
      </c>
      <c r="O175" s="12"/>
      <c r="P175" s="12">
        <v>525</v>
      </c>
      <c r="Q175" s="12"/>
      <c r="R175" s="12">
        <v>1849.07</v>
      </c>
      <c r="S175" s="12"/>
      <c r="T175" s="12">
        <v>24.03</v>
      </c>
      <c r="U175" s="12"/>
      <c r="V175" s="12">
        <v>1058.31</v>
      </c>
      <c r="W175" s="12"/>
      <c r="X175" s="12">
        <v>0</v>
      </c>
      <c r="Y175" s="12"/>
      <c r="Z175" s="12">
        <v>0</v>
      </c>
      <c r="AA175" s="12"/>
      <c r="AB175" s="12">
        <v>0</v>
      </c>
      <c r="AC175" s="12"/>
      <c r="AD175" s="12">
        <f t="shared" si="4"/>
        <v>169595.92</v>
      </c>
    </row>
    <row r="176" spans="1:30" s="11" customFormat="1" ht="12">
      <c r="A176" s="11" t="s">
        <v>345</v>
      </c>
      <c r="C176" s="11" t="s">
        <v>158</v>
      </c>
      <c r="D176" s="11" t="s">
        <v>71</v>
      </c>
      <c r="F176" s="12">
        <v>0</v>
      </c>
      <c r="G176" s="12"/>
      <c r="H176" s="12">
        <v>401681.32</v>
      </c>
      <c r="I176" s="12"/>
      <c r="J176" s="12">
        <v>0</v>
      </c>
      <c r="K176" s="12"/>
      <c r="L176" s="12">
        <v>10564.96</v>
      </c>
      <c r="M176" s="12"/>
      <c r="N176" s="12">
        <v>0</v>
      </c>
      <c r="O176" s="12"/>
      <c r="P176" s="12">
        <v>3202.52</v>
      </c>
      <c r="Q176" s="12"/>
      <c r="R176" s="12">
        <v>15494.87</v>
      </c>
      <c r="S176" s="12"/>
      <c r="T176" s="12">
        <v>2822.17</v>
      </c>
      <c r="U176" s="12"/>
      <c r="V176" s="12">
        <v>640.94</v>
      </c>
      <c r="W176" s="12"/>
      <c r="X176" s="12">
        <v>0</v>
      </c>
      <c r="Y176" s="12"/>
      <c r="Z176" s="12">
        <v>0</v>
      </c>
      <c r="AA176" s="12"/>
      <c r="AB176" s="12">
        <v>0</v>
      </c>
      <c r="AC176" s="12"/>
      <c r="AD176" s="12">
        <f t="shared" si="4"/>
        <v>434406.78</v>
      </c>
    </row>
    <row r="177" spans="1:30" s="11" customFormat="1" ht="12">
      <c r="A177" s="11" t="s">
        <v>346</v>
      </c>
      <c r="C177" s="11" t="s">
        <v>116</v>
      </c>
      <c r="D177" s="11" t="s">
        <v>65</v>
      </c>
      <c r="F177" s="12">
        <v>188768</v>
      </c>
      <c r="G177" s="12"/>
      <c r="H177" s="12">
        <v>1525462</v>
      </c>
      <c r="I177" s="12"/>
      <c r="J177" s="12">
        <v>20279</v>
      </c>
      <c r="K177" s="12"/>
      <c r="L177" s="12">
        <v>101882</v>
      </c>
      <c r="M177" s="12"/>
      <c r="N177" s="12">
        <v>0</v>
      </c>
      <c r="O177" s="12"/>
      <c r="P177" s="12">
        <v>0</v>
      </c>
      <c r="Q177" s="12"/>
      <c r="R177" s="12">
        <v>26617</v>
      </c>
      <c r="S177" s="12"/>
      <c r="T177" s="12">
        <v>1459</v>
      </c>
      <c r="U177" s="12"/>
      <c r="V177" s="12">
        <v>0</v>
      </c>
      <c r="W177" s="12"/>
      <c r="X177" s="12">
        <v>0</v>
      </c>
      <c r="Y177" s="12"/>
      <c r="Z177" s="12">
        <v>0</v>
      </c>
      <c r="AA177" s="12"/>
      <c r="AB177" s="12">
        <v>0</v>
      </c>
      <c r="AC177" s="12"/>
      <c r="AD177" s="12">
        <f t="shared" si="4"/>
        <v>1864467</v>
      </c>
    </row>
    <row r="178" spans="1:30" s="11" customFormat="1" ht="12">
      <c r="A178" s="11" t="s">
        <v>347</v>
      </c>
      <c r="C178" s="11" t="s">
        <v>158</v>
      </c>
      <c r="D178" s="11" t="s">
        <v>71</v>
      </c>
      <c r="F178" s="12">
        <v>0</v>
      </c>
      <c r="G178" s="12"/>
      <c r="H178" s="12">
        <v>0</v>
      </c>
      <c r="I178" s="12"/>
      <c r="J178" s="12">
        <v>0</v>
      </c>
      <c r="K178" s="12"/>
      <c r="L178" s="12">
        <v>0</v>
      </c>
      <c r="M178" s="12"/>
      <c r="N178" s="12">
        <v>26309</v>
      </c>
      <c r="O178" s="12"/>
      <c r="P178" s="12">
        <v>0</v>
      </c>
      <c r="Q178" s="12"/>
      <c r="R178" s="12">
        <v>2879</v>
      </c>
      <c r="S178" s="12"/>
      <c r="T178" s="12">
        <v>0</v>
      </c>
      <c r="U178" s="12"/>
      <c r="V178" s="12">
        <v>0</v>
      </c>
      <c r="W178" s="12"/>
      <c r="X178" s="12">
        <v>25637</v>
      </c>
      <c r="Y178" s="12"/>
      <c r="Z178" s="12">
        <v>0</v>
      </c>
      <c r="AA178" s="12"/>
      <c r="AB178" s="12">
        <v>0</v>
      </c>
      <c r="AC178" s="12"/>
      <c r="AD178" s="12">
        <f t="shared" si="4"/>
        <v>54825</v>
      </c>
    </row>
    <row r="179" spans="1:30" s="11" customFormat="1" ht="12">
      <c r="A179" s="11" t="s">
        <v>348</v>
      </c>
      <c r="C179" s="11" t="s">
        <v>185</v>
      </c>
      <c r="D179" s="11" t="s">
        <v>15</v>
      </c>
      <c r="F179" s="12">
        <v>0</v>
      </c>
      <c r="G179" s="12"/>
      <c r="H179" s="12">
        <v>714578.51</v>
      </c>
      <c r="I179" s="12"/>
      <c r="J179" s="12">
        <v>34804.37</v>
      </c>
      <c r="K179" s="12"/>
      <c r="L179" s="12">
        <v>31085.76</v>
      </c>
      <c r="M179" s="12"/>
      <c r="N179" s="12">
        <v>0</v>
      </c>
      <c r="O179" s="12"/>
      <c r="P179" s="12">
        <v>83040.49</v>
      </c>
      <c r="Q179" s="12"/>
      <c r="R179" s="12">
        <v>9557.7</v>
      </c>
      <c r="S179" s="12"/>
      <c r="T179" s="12">
        <v>30211.94</v>
      </c>
      <c r="U179" s="12"/>
      <c r="V179" s="12">
        <v>0</v>
      </c>
      <c r="W179" s="12"/>
      <c r="X179" s="12">
        <v>0</v>
      </c>
      <c r="Y179" s="12"/>
      <c r="Z179" s="12">
        <v>0</v>
      </c>
      <c r="AA179" s="12"/>
      <c r="AB179" s="12">
        <v>0</v>
      </c>
      <c r="AC179" s="12"/>
      <c r="AD179" s="12">
        <f t="shared" si="4"/>
        <v>903278.7699999999</v>
      </c>
    </row>
    <row r="180" spans="1:30" s="11" customFormat="1" ht="12">
      <c r="A180" s="11" t="s">
        <v>349</v>
      </c>
      <c r="C180" s="11" t="s">
        <v>266</v>
      </c>
      <c r="D180" s="11" t="s">
        <v>54</v>
      </c>
      <c r="F180" s="12">
        <v>313295</v>
      </c>
      <c r="G180" s="12"/>
      <c r="H180" s="12">
        <v>0</v>
      </c>
      <c r="I180" s="12"/>
      <c r="J180" s="12">
        <v>0</v>
      </c>
      <c r="K180" s="12"/>
      <c r="L180" s="12">
        <v>14011</v>
      </c>
      <c r="M180" s="12"/>
      <c r="N180" s="12">
        <v>0</v>
      </c>
      <c r="O180" s="12"/>
      <c r="P180" s="12">
        <v>1602</v>
      </c>
      <c r="Q180" s="12"/>
      <c r="R180" s="12">
        <v>26215</v>
      </c>
      <c r="S180" s="12"/>
      <c r="T180" s="12">
        <v>4871</v>
      </c>
      <c r="U180" s="12"/>
      <c r="V180" s="12">
        <v>0</v>
      </c>
      <c r="W180" s="12"/>
      <c r="X180" s="12">
        <v>0</v>
      </c>
      <c r="Y180" s="12"/>
      <c r="Z180" s="12">
        <v>0</v>
      </c>
      <c r="AA180" s="12"/>
      <c r="AB180" s="12">
        <v>0</v>
      </c>
      <c r="AC180" s="12"/>
      <c r="AD180" s="12">
        <f t="shared" si="4"/>
        <v>359994</v>
      </c>
    </row>
    <row r="181" spans="1:30" s="11" customFormat="1" ht="12">
      <c r="A181" s="11" t="s">
        <v>350</v>
      </c>
      <c r="C181" s="11" t="s">
        <v>282</v>
      </c>
      <c r="D181" s="11" t="s">
        <v>72</v>
      </c>
      <c r="F181" s="12">
        <v>263045</v>
      </c>
      <c r="G181" s="12"/>
      <c r="H181" s="12">
        <v>0</v>
      </c>
      <c r="I181" s="12"/>
      <c r="J181" s="12">
        <v>0</v>
      </c>
      <c r="K181" s="12"/>
      <c r="L181" s="12">
        <v>6050</v>
      </c>
      <c r="M181" s="12"/>
      <c r="N181" s="12">
        <v>0</v>
      </c>
      <c r="O181" s="12"/>
      <c r="P181" s="12">
        <v>690</v>
      </c>
      <c r="Q181" s="12"/>
      <c r="R181" s="12">
        <v>14143</v>
      </c>
      <c r="S181" s="12"/>
      <c r="T181" s="12">
        <v>331</v>
      </c>
      <c r="U181" s="12"/>
      <c r="V181" s="12">
        <v>0</v>
      </c>
      <c r="W181" s="12"/>
      <c r="X181" s="12">
        <v>0</v>
      </c>
      <c r="Y181" s="12"/>
      <c r="Z181" s="12">
        <v>0</v>
      </c>
      <c r="AA181" s="12"/>
      <c r="AB181" s="12">
        <v>0</v>
      </c>
      <c r="AC181" s="12"/>
      <c r="AD181" s="12">
        <f t="shared" si="4"/>
        <v>284259</v>
      </c>
    </row>
    <row r="182" spans="1:30" s="11" customFormat="1" ht="12">
      <c r="A182" s="11" t="s">
        <v>351</v>
      </c>
      <c r="C182" s="11" t="s">
        <v>150</v>
      </c>
      <c r="D182" s="11" t="s">
        <v>18</v>
      </c>
      <c r="F182" s="12">
        <v>0</v>
      </c>
      <c r="G182" s="12"/>
      <c r="H182" s="12">
        <v>527733.13</v>
      </c>
      <c r="I182" s="12"/>
      <c r="J182" s="12">
        <v>0</v>
      </c>
      <c r="K182" s="12"/>
      <c r="L182" s="12">
        <v>35872.67</v>
      </c>
      <c r="M182" s="12"/>
      <c r="N182" s="12">
        <v>0</v>
      </c>
      <c r="O182" s="12"/>
      <c r="P182" s="12">
        <v>6351</v>
      </c>
      <c r="Q182" s="12"/>
      <c r="R182" s="12">
        <v>18149.85</v>
      </c>
      <c r="S182" s="12"/>
      <c r="T182" s="12">
        <v>2265.12</v>
      </c>
      <c r="U182" s="12"/>
      <c r="V182" s="12">
        <v>0</v>
      </c>
      <c r="W182" s="12"/>
      <c r="X182" s="12">
        <v>0</v>
      </c>
      <c r="Y182" s="12"/>
      <c r="Z182" s="12">
        <v>0</v>
      </c>
      <c r="AA182" s="12"/>
      <c r="AB182" s="12">
        <v>0</v>
      </c>
      <c r="AC182" s="12"/>
      <c r="AD182" s="12">
        <f t="shared" si="4"/>
        <v>590371.77</v>
      </c>
    </row>
    <row r="183" spans="1:30" s="11" customFormat="1" ht="12">
      <c r="A183" s="11" t="s">
        <v>466</v>
      </c>
      <c r="C183" s="11" t="s">
        <v>282</v>
      </c>
      <c r="D183" s="11" t="s">
        <v>72</v>
      </c>
      <c r="F183" s="12">
        <v>0</v>
      </c>
      <c r="G183" s="12"/>
      <c r="H183" s="12">
        <v>0</v>
      </c>
      <c r="I183" s="12"/>
      <c r="J183" s="12">
        <v>18969</v>
      </c>
      <c r="K183" s="12"/>
      <c r="L183" s="12">
        <v>11655</v>
      </c>
      <c r="M183" s="12"/>
      <c r="N183" s="12">
        <v>0</v>
      </c>
      <c r="O183" s="12"/>
      <c r="P183" s="12">
        <v>0</v>
      </c>
      <c r="Q183" s="12"/>
      <c r="R183" s="12">
        <v>4267</v>
      </c>
      <c r="S183" s="12"/>
      <c r="T183" s="12">
        <v>1110</v>
      </c>
      <c r="U183" s="12"/>
      <c r="V183" s="12">
        <v>0</v>
      </c>
      <c r="W183" s="12"/>
      <c r="X183" s="12">
        <v>0</v>
      </c>
      <c r="Y183" s="12"/>
      <c r="Z183" s="12">
        <v>0</v>
      </c>
      <c r="AA183" s="12"/>
      <c r="AB183" s="12">
        <v>0</v>
      </c>
      <c r="AC183" s="12"/>
      <c r="AD183" s="12">
        <f t="shared" si="4"/>
        <v>36001</v>
      </c>
    </row>
    <row r="184" spans="1:30" s="11" customFormat="1" ht="12">
      <c r="A184" s="11" t="s">
        <v>353</v>
      </c>
      <c r="C184" s="11" t="s">
        <v>354</v>
      </c>
      <c r="D184" s="11" t="s">
        <v>73</v>
      </c>
      <c r="F184" s="12">
        <v>134684</v>
      </c>
      <c r="G184" s="12"/>
      <c r="H184" s="12">
        <v>673490</v>
      </c>
      <c r="I184" s="12"/>
      <c r="J184" s="12">
        <v>19691</v>
      </c>
      <c r="K184" s="12"/>
      <c r="L184" s="12">
        <v>42391</v>
      </c>
      <c r="M184" s="12"/>
      <c r="N184" s="12">
        <v>0</v>
      </c>
      <c r="O184" s="12"/>
      <c r="P184" s="12">
        <v>10989</v>
      </c>
      <c r="Q184" s="12"/>
      <c r="R184" s="12">
        <v>28710</v>
      </c>
      <c r="S184" s="12"/>
      <c r="T184" s="12">
        <v>1396</v>
      </c>
      <c r="U184" s="12"/>
      <c r="V184" s="12">
        <v>0</v>
      </c>
      <c r="W184" s="12"/>
      <c r="X184" s="12">
        <v>0</v>
      </c>
      <c r="Y184" s="12"/>
      <c r="Z184" s="12">
        <v>0</v>
      </c>
      <c r="AA184" s="12"/>
      <c r="AB184" s="12">
        <v>0</v>
      </c>
      <c r="AC184" s="12"/>
      <c r="AD184" s="12">
        <f t="shared" si="4"/>
        <v>911351</v>
      </c>
    </row>
    <row r="185" spans="1:30" s="11" customFormat="1" ht="12">
      <c r="A185" s="11" t="s">
        <v>355</v>
      </c>
      <c r="C185" s="11" t="s">
        <v>134</v>
      </c>
      <c r="D185" s="11" t="s">
        <v>16</v>
      </c>
      <c r="F185" s="12">
        <v>0</v>
      </c>
      <c r="G185" s="12"/>
      <c r="H185" s="12">
        <v>615060.44</v>
      </c>
      <c r="I185" s="12"/>
      <c r="J185" s="12">
        <v>0</v>
      </c>
      <c r="K185" s="12"/>
      <c r="L185" s="12">
        <v>19913.39</v>
      </c>
      <c r="M185" s="12"/>
      <c r="N185" s="12">
        <v>0</v>
      </c>
      <c r="O185" s="12"/>
      <c r="P185" s="12">
        <v>2908</v>
      </c>
      <c r="Q185" s="12"/>
      <c r="R185" s="12">
        <v>47089.9</v>
      </c>
      <c r="S185" s="12"/>
      <c r="T185" s="12">
        <v>457.76</v>
      </c>
      <c r="U185" s="12"/>
      <c r="V185" s="12">
        <v>0</v>
      </c>
      <c r="W185" s="12"/>
      <c r="X185" s="12">
        <v>0</v>
      </c>
      <c r="Y185" s="12"/>
      <c r="Z185" s="12">
        <v>0</v>
      </c>
      <c r="AA185" s="12"/>
      <c r="AB185" s="12">
        <v>0</v>
      </c>
      <c r="AC185" s="12"/>
      <c r="AD185" s="12">
        <f t="shared" si="4"/>
        <v>685429.49</v>
      </c>
    </row>
    <row r="186" spans="1:30" s="11" customFormat="1" ht="12">
      <c r="A186" s="11" t="s">
        <v>356</v>
      </c>
      <c r="C186" s="11" t="s">
        <v>153</v>
      </c>
      <c r="D186" s="11" t="s">
        <v>12</v>
      </c>
      <c r="F186" s="12">
        <v>0</v>
      </c>
      <c r="G186" s="12"/>
      <c r="H186" s="12">
        <v>233617.22</v>
      </c>
      <c r="I186" s="12"/>
      <c r="J186" s="12">
        <v>0</v>
      </c>
      <c r="K186" s="12"/>
      <c r="L186" s="12">
        <v>3965.74</v>
      </c>
      <c r="M186" s="12"/>
      <c r="N186" s="12">
        <v>0</v>
      </c>
      <c r="O186" s="12"/>
      <c r="P186" s="12">
        <v>7152.71</v>
      </c>
      <c r="Q186" s="12"/>
      <c r="R186" s="12">
        <v>6780.89</v>
      </c>
      <c r="S186" s="12"/>
      <c r="T186" s="12">
        <v>653.54</v>
      </c>
      <c r="U186" s="12"/>
      <c r="V186" s="12">
        <v>188.3</v>
      </c>
      <c r="W186" s="12"/>
      <c r="X186" s="12">
        <v>0</v>
      </c>
      <c r="Y186" s="12"/>
      <c r="Z186" s="12">
        <v>0</v>
      </c>
      <c r="AA186" s="12"/>
      <c r="AB186" s="12">
        <v>0</v>
      </c>
      <c r="AC186" s="12"/>
      <c r="AD186" s="12">
        <f t="shared" si="4"/>
        <v>252358.4</v>
      </c>
    </row>
    <row r="187" spans="1:30" s="11" customFormat="1" ht="12">
      <c r="A187" s="11" t="s">
        <v>357</v>
      </c>
      <c r="C187" s="11" t="s">
        <v>358</v>
      </c>
      <c r="D187" s="11" t="s">
        <v>74</v>
      </c>
      <c r="F187" s="12">
        <v>0</v>
      </c>
      <c r="G187" s="12"/>
      <c r="H187" s="12">
        <v>752525</v>
      </c>
      <c r="I187" s="12"/>
      <c r="J187" s="12">
        <v>0</v>
      </c>
      <c r="K187" s="12"/>
      <c r="L187" s="12">
        <v>28719</v>
      </c>
      <c r="M187" s="12"/>
      <c r="N187" s="12">
        <v>0</v>
      </c>
      <c r="O187" s="12"/>
      <c r="P187" s="12">
        <v>3592</v>
      </c>
      <c r="Q187" s="12"/>
      <c r="R187" s="12">
        <v>31928</v>
      </c>
      <c r="S187" s="12"/>
      <c r="T187" s="12">
        <v>3377</v>
      </c>
      <c r="U187" s="12"/>
      <c r="V187" s="12">
        <v>0</v>
      </c>
      <c r="W187" s="12"/>
      <c r="X187" s="12">
        <v>0</v>
      </c>
      <c r="Y187" s="12"/>
      <c r="Z187" s="12">
        <v>0</v>
      </c>
      <c r="AA187" s="12"/>
      <c r="AB187" s="12">
        <v>0</v>
      </c>
      <c r="AC187" s="12"/>
      <c r="AD187" s="12">
        <f t="shared" si="4"/>
        <v>820141</v>
      </c>
    </row>
    <row r="188" spans="1:30" s="11" customFormat="1" ht="12">
      <c r="A188" s="11" t="s">
        <v>359</v>
      </c>
      <c r="C188" s="11" t="s">
        <v>358</v>
      </c>
      <c r="D188" s="11" t="s">
        <v>74</v>
      </c>
      <c r="F188" s="12">
        <v>0</v>
      </c>
      <c r="G188" s="12"/>
      <c r="H188" s="12">
        <v>0</v>
      </c>
      <c r="I188" s="12"/>
      <c r="J188" s="12">
        <v>0</v>
      </c>
      <c r="K188" s="12"/>
      <c r="L188" s="12">
        <v>56092</v>
      </c>
      <c r="M188" s="12"/>
      <c r="N188" s="12">
        <v>0</v>
      </c>
      <c r="O188" s="12"/>
      <c r="P188" s="12">
        <v>0</v>
      </c>
      <c r="Q188" s="12"/>
      <c r="R188" s="12">
        <v>0</v>
      </c>
      <c r="S188" s="12"/>
      <c r="T188" s="12">
        <v>1</v>
      </c>
      <c r="U188" s="12"/>
      <c r="V188" s="12">
        <v>0</v>
      </c>
      <c r="W188" s="12"/>
      <c r="X188" s="12">
        <v>0</v>
      </c>
      <c r="Y188" s="12"/>
      <c r="Z188" s="12">
        <v>0</v>
      </c>
      <c r="AA188" s="12"/>
      <c r="AB188" s="12">
        <v>0</v>
      </c>
      <c r="AC188" s="12"/>
      <c r="AD188" s="12">
        <f t="shared" si="4"/>
        <v>56093</v>
      </c>
    </row>
    <row r="189" spans="1:30" s="11" customFormat="1" ht="12">
      <c r="A189" s="11" t="s">
        <v>360</v>
      </c>
      <c r="C189" s="11" t="s">
        <v>158</v>
      </c>
      <c r="D189" s="11" t="s">
        <v>71</v>
      </c>
      <c r="F189" s="12">
        <v>0</v>
      </c>
      <c r="G189" s="12"/>
      <c r="H189" s="12">
        <v>395779.35</v>
      </c>
      <c r="I189" s="12"/>
      <c r="J189" s="12">
        <v>0</v>
      </c>
      <c r="K189" s="12"/>
      <c r="L189" s="12">
        <v>8935.26</v>
      </c>
      <c r="M189" s="12"/>
      <c r="N189" s="12">
        <v>0</v>
      </c>
      <c r="O189" s="12"/>
      <c r="P189" s="12">
        <v>855.25</v>
      </c>
      <c r="Q189" s="12"/>
      <c r="R189" s="12">
        <v>25111.52</v>
      </c>
      <c r="S189" s="12"/>
      <c r="T189" s="12">
        <v>4545.72</v>
      </c>
      <c r="U189" s="12"/>
      <c r="V189" s="12">
        <v>0</v>
      </c>
      <c r="W189" s="12"/>
      <c r="X189" s="12">
        <v>0</v>
      </c>
      <c r="Y189" s="12"/>
      <c r="Z189" s="12">
        <v>0</v>
      </c>
      <c r="AA189" s="12"/>
      <c r="AB189" s="12">
        <v>0</v>
      </c>
      <c r="AC189" s="12"/>
      <c r="AD189" s="12">
        <f t="shared" si="4"/>
        <v>435227.1</v>
      </c>
    </row>
    <row r="190" spans="1:30" s="11" customFormat="1" ht="12">
      <c r="A190" s="11" t="s">
        <v>361</v>
      </c>
      <c r="C190" s="11" t="s">
        <v>113</v>
      </c>
      <c r="D190" s="11" t="s">
        <v>17</v>
      </c>
      <c r="F190" s="12">
        <v>0</v>
      </c>
      <c r="G190" s="12"/>
      <c r="H190" s="12">
        <v>387237.46</v>
      </c>
      <c r="I190" s="12"/>
      <c r="J190" s="12">
        <v>0</v>
      </c>
      <c r="K190" s="12"/>
      <c r="L190" s="12">
        <v>5935.55</v>
      </c>
      <c r="M190" s="12"/>
      <c r="N190" s="12">
        <v>0</v>
      </c>
      <c r="O190" s="12"/>
      <c r="P190" s="12">
        <v>0</v>
      </c>
      <c r="Q190" s="12"/>
      <c r="R190" s="12">
        <v>2225.57</v>
      </c>
      <c r="S190" s="12"/>
      <c r="T190" s="12">
        <v>0</v>
      </c>
      <c r="U190" s="12"/>
      <c r="V190" s="12">
        <v>0</v>
      </c>
      <c r="W190" s="12"/>
      <c r="X190" s="12">
        <v>0</v>
      </c>
      <c r="Y190" s="12"/>
      <c r="Z190" s="12">
        <v>0</v>
      </c>
      <c r="AA190" s="12"/>
      <c r="AB190" s="12">
        <v>0</v>
      </c>
      <c r="AC190" s="12"/>
      <c r="AD190" s="12">
        <f t="shared" si="4"/>
        <v>395398.58</v>
      </c>
    </row>
    <row r="191" spans="1:30" s="11" customFormat="1" ht="12">
      <c r="A191" s="11" t="s">
        <v>362</v>
      </c>
      <c r="C191" s="11" t="s">
        <v>159</v>
      </c>
      <c r="D191" s="11" t="s">
        <v>69</v>
      </c>
      <c r="F191" s="12">
        <v>0</v>
      </c>
      <c r="G191" s="12"/>
      <c r="H191" s="12">
        <v>1095078.06</v>
      </c>
      <c r="I191" s="12"/>
      <c r="J191" s="12">
        <v>7770.11</v>
      </c>
      <c r="K191" s="12"/>
      <c r="L191" s="12">
        <v>30701.79</v>
      </c>
      <c r="M191" s="12"/>
      <c r="N191" s="12">
        <v>0</v>
      </c>
      <c r="O191" s="12"/>
      <c r="P191" s="12">
        <v>3223.33</v>
      </c>
      <c r="Q191" s="12"/>
      <c r="R191" s="12">
        <v>13369.33</v>
      </c>
      <c r="S191" s="12"/>
      <c r="T191" s="12">
        <v>61376.65</v>
      </c>
      <c r="U191" s="12"/>
      <c r="V191" s="12">
        <v>0</v>
      </c>
      <c r="W191" s="12"/>
      <c r="X191" s="12">
        <v>0</v>
      </c>
      <c r="Y191" s="12"/>
      <c r="Z191" s="12">
        <v>200</v>
      </c>
      <c r="AA191" s="12"/>
      <c r="AB191" s="12">
        <v>0</v>
      </c>
      <c r="AC191" s="12"/>
      <c r="AD191" s="12">
        <f t="shared" si="4"/>
        <v>1211719.2700000003</v>
      </c>
    </row>
    <row r="192" spans="1:30" s="11" customFormat="1" ht="12">
      <c r="A192" s="11" t="s">
        <v>363</v>
      </c>
      <c r="C192" s="11" t="s">
        <v>161</v>
      </c>
      <c r="D192" s="11" t="s">
        <v>32</v>
      </c>
      <c r="F192" s="12">
        <v>0</v>
      </c>
      <c r="G192" s="12"/>
      <c r="H192" s="12">
        <v>260970</v>
      </c>
      <c r="I192" s="12"/>
      <c r="J192" s="12">
        <v>0</v>
      </c>
      <c r="K192" s="12"/>
      <c r="L192" s="12">
        <v>2887</v>
      </c>
      <c r="M192" s="12"/>
      <c r="N192" s="12">
        <v>0</v>
      </c>
      <c r="O192" s="12"/>
      <c r="P192" s="12">
        <v>0</v>
      </c>
      <c r="Q192" s="12"/>
      <c r="R192" s="12">
        <v>327</v>
      </c>
      <c r="S192" s="12"/>
      <c r="T192" s="12">
        <v>707</v>
      </c>
      <c r="U192" s="12"/>
      <c r="V192" s="12">
        <v>0</v>
      </c>
      <c r="W192" s="12"/>
      <c r="X192" s="12">
        <v>82834</v>
      </c>
      <c r="Y192" s="12"/>
      <c r="Z192" s="12">
        <v>0</v>
      </c>
      <c r="AA192" s="12"/>
      <c r="AB192" s="12">
        <v>0</v>
      </c>
      <c r="AC192" s="12"/>
      <c r="AD192" s="12">
        <f t="shared" si="4"/>
        <v>347725</v>
      </c>
    </row>
    <row r="193" spans="1:30" s="11" customFormat="1" ht="12">
      <c r="A193" s="11" t="s">
        <v>364</v>
      </c>
      <c r="C193" s="11" t="s">
        <v>159</v>
      </c>
      <c r="D193" s="11" t="s">
        <v>69</v>
      </c>
      <c r="F193" s="12">
        <v>0</v>
      </c>
      <c r="G193" s="12"/>
      <c r="H193" s="12">
        <v>0</v>
      </c>
      <c r="I193" s="12"/>
      <c r="J193" s="12">
        <v>0</v>
      </c>
      <c r="K193" s="12"/>
      <c r="L193" s="12">
        <v>84429</v>
      </c>
      <c r="M193" s="12"/>
      <c r="N193" s="12">
        <v>0</v>
      </c>
      <c r="O193" s="12"/>
      <c r="P193" s="12">
        <v>0</v>
      </c>
      <c r="Q193" s="12"/>
      <c r="R193" s="12">
        <v>255</v>
      </c>
      <c r="S193" s="12"/>
      <c r="T193" s="12">
        <f>2019+137</f>
        <v>2156</v>
      </c>
      <c r="U193" s="12"/>
      <c r="V193" s="12">
        <v>0</v>
      </c>
      <c r="W193" s="12"/>
      <c r="X193" s="12">
        <v>0</v>
      </c>
      <c r="Y193" s="12"/>
      <c r="Z193" s="12">
        <v>0</v>
      </c>
      <c r="AA193" s="12"/>
      <c r="AB193" s="12">
        <v>0</v>
      </c>
      <c r="AC193" s="12"/>
      <c r="AD193" s="12">
        <f t="shared" si="4"/>
        <v>86840</v>
      </c>
    </row>
    <row r="194" spans="1:30" s="11" customFormat="1" ht="12">
      <c r="A194" s="11" t="s">
        <v>365</v>
      </c>
      <c r="C194" s="11" t="s">
        <v>106</v>
      </c>
      <c r="D194" s="11" t="s">
        <v>46</v>
      </c>
      <c r="F194" s="12">
        <v>0</v>
      </c>
      <c r="G194" s="12"/>
      <c r="H194" s="12">
        <v>418318.39</v>
      </c>
      <c r="I194" s="12"/>
      <c r="J194" s="12">
        <v>143308.42</v>
      </c>
      <c r="K194" s="12"/>
      <c r="L194" s="12">
        <v>23240.82</v>
      </c>
      <c r="M194" s="12"/>
      <c r="N194" s="12">
        <v>0</v>
      </c>
      <c r="O194" s="12"/>
      <c r="P194" s="12">
        <v>0</v>
      </c>
      <c r="Q194" s="12"/>
      <c r="R194" s="12">
        <v>51694.66</v>
      </c>
      <c r="S194" s="12"/>
      <c r="T194" s="12">
        <v>9615.58</v>
      </c>
      <c r="U194" s="12"/>
      <c r="V194" s="12">
        <v>0</v>
      </c>
      <c r="W194" s="12"/>
      <c r="X194" s="12">
        <v>0</v>
      </c>
      <c r="Y194" s="12"/>
      <c r="Z194" s="12">
        <v>0</v>
      </c>
      <c r="AA194" s="12"/>
      <c r="AB194" s="12">
        <v>0</v>
      </c>
      <c r="AC194" s="12"/>
      <c r="AD194" s="12">
        <f t="shared" si="4"/>
        <v>646177.87</v>
      </c>
    </row>
    <row r="195" spans="1:30" s="11" customFormat="1" ht="12">
      <c r="A195" s="11" t="s">
        <v>366</v>
      </c>
      <c r="C195" s="11" t="s">
        <v>367</v>
      </c>
      <c r="D195" s="11" t="s">
        <v>75</v>
      </c>
      <c r="F195" s="12">
        <v>0</v>
      </c>
      <c r="G195" s="12"/>
      <c r="H195" s="12">
        <v>1854662</v>
      </c>
      <c r="I195" s="12"/>
      <c r="J195" s="12">
        <v>0</v>
      </c>
      <c r="K195" s="12"/>
      <c r="L195" s="12">
        <v>66633</v>
      </c>
      <c r="M195" s="12"/>
      <c r="N195" s="12">
        <v>0</v>
      </c>
      <c r="O195" s="12"/>
      <c r="P195" s="12">
        <v>10183598</v>
      </c>
      <c r="Q195" s="12"/>
      <c r="R195" s="12">
        <v>224518</v>
      </c>
      <c r="S195" s="12"/>
      <c r="T195" s="12">
        <v>215</v>
      </c>
      <c r="U195" s="12"/>
      <c r="V195" s="12">
        <v>2505</v>
      </c>
      <c r="W195" s="12"/>
      <c r="X195" s="12">
        <v>0</v>
      </c>
      <c r="Y195" s="12"/>
      <c r="Z195" s="12">
        <v>0</v>
      </c>
      <c r="AA195" s="12"/>
      <c r="AB195" s="12">
        <v>0</v>
      </c>
      <c r="AC195" s="12"/>
      <c r="AD195" s="12">
        <f t="shared" si="4"/>
        <v>12332131</v>
      </c>
    </row>
    <row r="196" spans="1:30" s="11" customFormat="1" ht="12">
      <c r="A196" s="11" t="s">
        <v>467</v>
      </c>
      <c r="C196" s="11" t="s">
        <v>160</v>
      </c>
      <c r="D196" s="11" t="s">
        <v>45</v>
      </c>
      <c r="F196" s="12">
        <v>0</v>
      </c>
      <c r="G196" s="12"/>
      <c r="H196" s="12">
        <v>1064770.15</v>
      </c>
      <c r="I196" s="12"/>
      <c r="J196" s="12">
        <v>7195.98</v>
      </c>
      <c r="K196" s="12"/>
      <c r="L196" s="12">
        <v>51487.3</v>
      </c>
      <c r="M196" s="12"/>
      <c r="N196" s="12">
        <v>0</v>
      </c>
      <c r="O196" s="12"/>
      <c r="P196" s="12">
        <v>14168.48</v>
      </c>
      <c r="Q196" s="12"/>
      <c r="R196" s="12">
        <v>4189.75</v>
      </c>
      <c r="S196" s="12"/>
      <c r="T196" s="12">
        <v>379.78</v>
      </c>
      <c r="U196" s="12"/>
      <c r="V196" s="12">
        <v>142</v>
      </c>
      <c r="W196" s="12"/>
      <c r="X196" s="12">
        <v>0</v>
      </c>
      <c r="Y196" s="12"/>
      <c r="Z196" s="12">
        <v>0</v>
      </c>
      <c r="AA196" s="12"/>
      <c r="AB196" s="12">
        <v>0</v>
      </c>
      <c r="AC196" s="12"/>
      <c r="AD196" s="12">
        <f t="shared" si="4"/>
        <v>1142333.44</v>
      </c>
    </row>
    <row r="197" spans="1:30" s="11" customFormat="1" ht="12">
      <c r="A197" s="11" t="s">
        <v>369</v>
      </c>
      <c r="C197" s="11" t="s">
        <v>103</v>
      </c>
      <c r="D197" s="11" t="s">
        <v>61</v>
      </c>
      <c r="F197" s="12">
        <v>0</v>
      </c>
      <c r="G197" s="12"/>
      <c r="H197" s="12">
        <v>433360.11</v>
      </c>
      <c r="I197" s="12"/>
      <c r="J197" s="12">
        <v>0</v>
      </c>
      <c r="K197" s="12"/>
      <c r="L197" s="12">
        <v>21525.85</v>
      </c>
      <c r="M197" s="12"/>
      <c r="N197" s="12">
        <v>0</v>
      </c>
      <c r="O197" s="12"/>
      <c r="P197" s="12">
        <v>83587.52</v>
      </c>
      <c r="Q197" s="12"/>
      <c r="R197" s="12">
        <v>5558.1</v>
      </c>
      <c r="S197" s="12"/>
      <c r="T197" s="12">
        <v>875.66</v>
      </c>
      <c r="U197" s="12"/>
      <c r="V197" s="12">
        <v>0</v>
      </c>
      <c r="W197" s="12"/>
      <c r="X197" s="12">
        <v>0</v>
      </c>
      <c r="Y197" s="12"/>
      <c r="Z197" s="12">
        <v>0</v>
      </c>
      <c r="AA197" s="12"/>
      <c r="AB197" s="12">
        <v>0</v>
      </c>
      <c r="AC197" s="12"/>
      <c r="AD197" s="12">
        <f t="shared" si="4"/>
        <v>544907.24</v>
      </c>
    </row>
    <row r="198" spans="1:30" s="11" customFormat="1" ht="12">
      <c r="A198" s="11" t="s">
        <v>370</v>
      </c>
      <c r="C198" s="11" t="s">
        <v>286</v>
      </c>
      <c r="D198" s="11" t="s">
        <v>76</v>
      </c>
      <c r="F198" s="12">
        <v>0</v>
      </c>
      <c r="G198" s="12"/>
      <c r="H198" s="12">
        <v>2560704</v>
      </c>
      <c r="I198" s="12"/>
      <c r="J198" s="12">
        <v>3407</v>
      </c>
      <c r="K198" s="12"/>
      <c r="L198" s="12">
        <v>42554</v>
      </c>
      <c r="M198" s="12"/>
      <c r="N198" s="12">
        <v>51411</v>
      </c>
      <c r="O198" s="12"/>
      <c r="P198" s="12">
        <v>3828</v>
      </c>
      <c r="Q198" s="12"/>
      <c r="R198" s="12">
        <v>56586</v>
      </c>
      <c r="S198" s="12"/>
      <c r="T198" s="12">
        <v>54335</v>
      </c>
      <c r="U198" s="12"/>
      <c r="V198" s="12">
        <v>0</v>
      </c>
      <c r="W198" s="12"/>
      <c r="X198" s="12">
        <v>0</v>
      </c>
      <c r="Y198" s="12"/>
      <c r="Z198" s="12">
        <v>0</v>
      </c>
      <c r="AA198" s="12"/>
      <c r="AB198" s="12">
        <v>0</v>
      </c>
      <c r="AC198" s="12"/>
      <c r="AD198" s="12">
        <f t="shared" si="4"/>
        <v>2772825</v>
      </c>
    </row>
    <row r="199" spans="1:30" s="11" customFormat="1" ht="12">
      <c r="A199" s="11" t="s">
        <v>371</v>
      </c>
      <c r="C199" s="11" t="s">
        <v>286</v>
      </c>
      <c r="D199" s="11" t="s">
        <v>76</v>
      </c>
      <c r="F199" s="12">
        <v>2757696</v>
      </c>
      <c r="G199" s="12"/>
      <c r="H199" s="12">
        <v>1713046</v>
      </c>
      <c r="I199" s="12"/>
      <c r="J199" s="12">
        <v>0</v>
      </c>
      <c r="K199" s="12"/>
      <c r="L199" s="12">
        <v>84781</v>
      </c>
      <c r="M199" s="12"/>
      <c r="N199" s="12">
        <v>0</v>
      </c>
      <c r="O199" s="12"/>
      <c r="P199" s="12">
        <v>3445</v>
      </c>
      <c r="Q199" s="12"/>
      <c r="R199" s="12">
        <v>83690</v>
      </c>
      <c r="S199" s="12"/>
      <c r="T199" s="12">
        <v>27755</v>
      </c>
      <c r="U199" s="12"/>
      <c r="V199" s="12">
        <v>0</v>
      </c>
      <c r="W199" s="12"/>
      <c r="X199" s="12">
        <v>0</v>
      </c>
      <c r="Y199" s="12"/>
      <c r="Z199" s="12">
        <v>0</v>
      </c>
      <c r="AA199" s="12"/>
      <c r="AB199" s="12">
        <v>0</v>
      </c>
      <c r="AC199" s="12"/>
      <c r="AD199" s="12">
        <f aca="true" t="shared" si="5" ref="AD199:AD259">SUM(F199:AB199)</f>
        <v>4670413</v>
      </c>
    </row>
    <row r="200" spans="1:30" s="11" customFormat="1" ht="12">
      <c r="A200" s="11" t="s">
        <v>114</v>
      </c>
      <c r="C200" s="11" t="s">
        <v>115</v>
      </c>
      <c r="D200" s="11" t="s">
        <v>77</v>
      </c>
      <c r="F200" s="12">
        <v>0</v>
      </c>
      <c r="G200" s="12"/>
      <c r="H200" s="12">
        <v>3000202</v>
      </c>
      <c r="I200" s="12"/>
      <c r="J200" s="12">
        <v>0</v>
      </c>
      <c r="K200" s="12"/>
      <c r="L200" s="12">
        <v>87512</v>
      </c>
      <c r="M200" s="12"/>
      <c r="N200" s="12">
        <v>0</v>
      </c>
      <c r="O200" s="12"/>
      <c r="P200" s="12">
        <v>69755</v>
      </c>
      <c r="Q200" s="12"/>
      <c r="R200" s="12">
        <v>69610</v>
      </c>
      <c r="S200" s="12"/>
      <c r="T200" s="12">
        <v>7135</v>
      </c>
      <c r="U200" s="12"/>
      <c r="V200" s="12">
        <v>0</v>
      </c>
      <c r="W200" s="12"/>
      <c r="X200" s="12">
        <v>0</v>
      </c>
      <c r="Y200" s="12"/>
      <c r="Z200" s="12">
        <v>0</v>
      </c>
      <c r="AA200" s="12"/>
      <c r="AB200" s="12">
        <v>0</v>
      </c>
      <c r="AC200" s="12"/>
      <c r="AD200" s="12">
        <f t="shared" si="5"/>
        <v>3234214</v>
      </c>
    </row>
    <row r="201" spans="1:30" s="11" customFormat="1" ht="12">
      <c r="A201" s="11" t="s">
        <v>372</v>
      </c>
      <c r="C201" s="11" t="s">
        <v>201</v>
      </c>
      <c r="D201" s="11" t="s">
        <v>30</v>
      </c>
      <c r="F201" s="12">
        <v>1347082</v>
      </c>
      <c r="G201" s="12"/>
      <c r="H201" s="12">
        <v>0</v>
      </c>
      <c r="I201" s="12"/>
      <c r="J201" s="12">
        <v>0</v>
      </c>
      <c r="K201" s="12"/>
      <c r="L201" s="12">
        <v>4334</v>
      </c>
      <c r="M201" s="12"/>
      <c r="N201" s="12">
        <v>0</v>
      </c>
      <c r="O201" s="12"/>
      <c r="P201" s="12">
        <v>4139</v>
      </c>
      <c r="Q201" s="12"/>
      <c r="R201" s="12">
        <v>22491</v>
      </c>
      <c r="S201" s="12"/>
      <c r="T201" s="12">
        <v>35892</v>
      </c>
      <c r="U201" s="12"/>
      <c r="V201" s="12">
        <v>0</v>
      </c>
      <c r="W201" s="12"/>
      <c r="X201" s="12">
        <v>0</v>
      </c>
      <c r="Y201" s="12"/>
      <c r="Z201" s="12">
        <v>0</v>
      </c>
      <c r="AA201" s="12"/>
      <c r="AB201" s="12">
        <v>0</v>
      </c>
      <c r="AC201" s="12"/>
      <c r="AD201" s="12">
        <f t="shared" si="5"/>
        <v>1413938</v>
      </c>
    </row>
    <row r="202" spans="1:30" s="11" customFormat="1" ht="12">
      <c r="A202" s="11" t="s">
        <v>373</v>
      </c>
      <c r="C202" s="11" t="s">
        <v>139</v>
      </c>
      <c r="D202" s="11" t="s">
        <v>89</v>
      </c>
      <c r="F202" s="12">
        <v>0</v>
      </c>
      <c r="G202" s="12"/>
      <c r="H202" s="12">
        <v>536752.94</v>
      </c>
      <c r="I202" s="12"/>
      <c r="J202" s="12">
        <v>0</v>
      </c>
      <c r="K202" s="12"/>
      <c r="L202" s="12">
        <v>21141.43</v>
      </c>
      <c r="M202" s="12"/>
      <c r="N202" s="12">
        <v>0</v>
      </c>
      <c r="O202" s="12"/>
      <c r="P202" s="12">
        <v>434.53</v>
      </c>
      <c r="Q202" s="12"/>
      <c r="R202" s="12">
        <v>3401.04</v>
      </c>
      <c r="S202" s="12"/>
      <c r="T202" s="12">
        <v>9337.15</v>
      </c>
      <c r="U202" s="12"/>
      <c r="V202" s="12">
        <v>0</v>
      </c>
      <c r="W202" s="12"/>
      <c r="X202" s="12">
        <v>0</v>
      </c>
      <c r="Y202" s="12"/>
      <c r="Z202" s="12">
        <v>0</v>
      </c>
      <c r="AA202" s="12"/>
      <c r="AB202" s="12">
        <v>0</v>
      </c>
      <c r="AC202" s="12"/>
      <c r="AD202" s="12">
        <f t="shared" si="5"/>
        <v>571067.0900000001</v>
      </c>
    </row>
    <row r="203" spans="1:30" s="11" customFormat="1" ht="12">
      <c r="A203" s="11" t="s">
        <v>374</v>
      </c>
      <c r="C203" s="11" t="s">
        <v>375</v>
      </c>
      <c r="D203" s="11" t="s">
        <v>97</v>
      </c>
      <c r="F203" s="12">
        <v>0</v>
      </c>
      <c r="G203" s="12"/>
      <c r="H203" s="12">
        <v>1277518.76</v>
      </c>
      <c r="I203" s="12"/>
      <c r="J203" s="12">
        <v>2622.41</v>
      </c>
      <c r="K203" s="12"/>
      <c r="L203" s="12">
        <v>21099.21</v>
      </c>
      <c r="M203" s="12"/>
      <c r="N203" s="12">
        <v>0</v>
      </c>
      <c r="O203" s="12"/>
      <c r="P203" s="12">
        <v>12103.24</v>
      </c>
      <c r="Q203" s="12"/>
      <c r="R203" s="12">
        <v>51226.87</v>
      </c>
      <c r="S203" s="12"/>
      <c r="T203" s="12">
        <v>153.46</v>
      </c>
      <c r="U203" s="12"/>
      <c r="V203" s="12">
        <v>0</v>
      </c>
      <c r="W203" s="12"/>
      <c r="X203" s="12">
        <v>0</v>
      </c>
      <c r="Y203" s="12"/>
      <c r="Z203" s="12">
        <v>0</v>
      </c>
      <c r="AA203" s="12"/>
      <c r="AB203" s="12">
        <v>0</v>
      </c>
      <c r="AC203" s="12"/>
      <c r="AD203" s="12">
        <f t="shared" si="5"/>
        <v>1364723.95</v>
      </c>
    </row>
    <row r="204" spans="1:30" s="11" customFormat="1" ht="12">
      <c r="A204" s="11" t="s">
        <v>376</v>
      </c>
      <c r="C204" s="11" t="s">
        <v>286</v>
      </c>
      <c r="D204" s="11" t="s">
        <v>76</v>
      </c>
      <c r="F204" s="12">
        <v>0</v>
      </c>
      <c r="G204" s="12"/>
      <c r="H204" s="12">
        <v>1079259.78</v>
      </c>
      <c r="I204" s="12"/>
      <c r="J204" s="12">
        <v>43269.83</v>
      </c>
      <c r="K204" s="12"/>
      <c r="L204" s="12">
        <v>22491.38</v>
      </c>
      <c r="M204" s="12"/>
      <c r="N204" s="12">
        <v>1214.8</v>
      </c>
      <c r="O204" s="12"/>
      <c r="P204" s="12">
        <v>3303.5</v>
      </c>
      <c r="Q204" s="12"/>
      <c r="R204" s="12">
        <v>48931.52</v>
      </c>
      <c r="S204" s="12"/>
      <c r="T204" s="12">
        <v>6061.76</v>
      </c>
      <c r="U204" s="12"/>
      <c r="V204" s="12">
        <v>43</v>
      </c>
      <c r="W204" s="12"/>
      <c r="X204" s="12">
        <v>0</v>
      </c>
      <c r="Y204" s="12"/>
      <c r="Z204" s="12">
        <v>0</v>
      </c>
      <c r="AA204" s="12"/>
      <c r="AB204" s="12">
        <v>4001.14</v>
      </c>
      <c r="AC204" s="12"/>
      <c r="AD204" s="12">
        <f t="shared" si="5"/>
        <v>1208576.71</v>
      </c>
    </row>
    <row r="205" spans="1:30" s="11" customFormat="1" ht="12">
      <c r="A205" s="11" t="s">
        <v>468</v>
      </c>
      <c r="C205" s="11" t="s">
        <v>343</v>
      </c>
      <c r="D205" s="11" t="s">
        <v>70</v>
      </c>
      <c r="F205" s="12">
        <v>3456721</v>
      </c>
      <c r="G205" s="12"/>
      <c r="H205" s="12">
        <v>9948049</v>
      </c>
      <c r="I205" s="12"/>
      <c r="J205" s="12">
        <v>431994</v>
      </c>
      <c r="K205" s="12"/>
      <c r="L205" s="12">
        <v>276328</v>
      </c>
      <c r="M205" s="12"/>
      <c r="N205" s="12">
        <v>38449</v>
      </c>
      <c r="O205" s="12"/>
      <c r="P205" s="12">
        <v>15000</v>
      </c>
      <c r="Q205" s="12"/>
      <c r="R205" s="12">
        <v>240214</v>
      </c>
      <c r="S205" s="12"/>
      <c r="T205" s="12">
        <v>131204</v>
      </c>
      <c r="U205" s="12"/>
      <c r="V205" s="12">
        <v>0</v>
      </c>
      <c r="W205" s="12"/>
      <c r="X205" s="12">
        <v>0</v>
      </c>
      <c r="Y205" s="12"/>
      <c r="Z205" s="12">
        <v>0</v>
      </c>
      <c r="AA205" s="12"/>
      <c r="AB205" s="12">
        <v>0</v>
      </c>
      <c r="AC205" s="12"/>
      <c r="AD205" s="12">
        <f t="shared" si="5"/>
        <v>14537959</v>
      </c>
    </row>
    <row r="206" spans="1:30" s="11" customFormat="1" ht="12">
      <c r="A206" s="11" t="s">
        <v>378</v>
      </c>
      <c r="C206" s="11" t="s">
        <v>311</v>
      </c>
      <c r="D206" s="11" t="s">
        <v>64</v>
      </c>
      <c r="F206" s="12">
        <v>0</v>
      </c>
      <c r="G206" s="12"/>
      <c r="H206" s="12">
        <v>389812</v>
      </c>
      <c r="I206" s="12"/>
      <c r="J206" s="12">
        <v>0</v>
      </c>
      <c r="K206" s="12"/>
      <c r="L206" s="12">
        <v>7219</v>
      </c>
      <c r="M206" s="12"/>
      <c r="N206" s="12">
        <v>0</v>
      </c>
      <c r="O206" s="12"/>
      <c r="P206" s="12">
        <v>1141</v>
      </c>
      <c r="Q206" s="12"/>
      <c r="R206" s="12">
        <v>6112</v>
      </c>
      <c r="S206" s="12"/>
      <c r="T206" s="12">
        <v>12566</v>
      </c>
      <c r="U206" s="12"/>
      <c r="V206" s="12">
        <v>0</v>
      </c>
      <c r="W206" s="12"/>
      <c r="X206" s="12">
        <v>15350</v>
      </c>
      <c r="Y206" s="12"/>
      <c r="Z206" s="12">
        <v>0</v>
      </c>
      <c r="AA206" s="12"/>
      <c r="AB206" s="12">
        <v>0</v>
      </c>
      <c r="AC206" s="12"/>
      <c r="AD206" s="12">
        <f t="shared" si="5"/>
        <v>432200</v>
      </c>
    </row>
    <row r="207" spans="1:30" s="11" customFormat="1" ht="12">
      <c r="A207" s="11" t="s">
        <v>469</v>
      </c>
      <c r="C207" s="11" t="s">
        <v>154</v>
      </c>
      <c r="D207" s="11" t="s">
        <v>53</v>
      </c>
      <c r="F207" s="12">
        <v>0</v>
      </c>
      <c r="G207" s="12"/>
      <c r="H207" s="12">
        <v>109579.42</v>
      </c>
      <c r="I207" s="12"/>
      <c r="J207" s="12">
        <v>0</v>
      </c>
      <c r="K207" s="12"/>
      <c r="L207" s="12">
        <v>1590.64</v>
      </c>
      <c r="M207" s="12"/>
      <c r="N207" s="12">
        <v>0</v>
      </c>
      <c r="O207" s="12"/>
      <c r="P207" s="12">
        <v>659.58</v>
      </c>
      <c r="Q207" s="12"/>
      <c r="R207" s="12">
        <v>1088.16</v>
      </c>
      <c r="S207" s="12"/>
      <c r="T207" s="12">
        <v>458.9</v>
      </c>
      <c r="U207" s="12"/>
      <c r="V207" s="12">
        <v>0</v>
      </c>
      <c r="W207" s="12"/>
      <c r="X207" s="12">
        <v>0</v>
      </c>
      <c r="Y207" s="12"/>
      <c r="Z207" s="12">
        <v>0</v>
      </c>
      <c r="AA207" s="12"/>
      <c r="AB207" s="12">
        <v>0</v>
      </c>
      <c r="AC207" s="12"/>
      <c r="AD207" s="12">
        <f t="shared" si="5"/>
        <v>113376.7</v>
      </c>
    </row>
    <row r="208" spans="1:30" s="11" customFormat="1" ht="12">
      <c r="A208" s="11" t="s">
        <v>380</v>
      </c>
      <c r="C208" s="11" t="s">
        <v>278</v>
      </c>
      <c r="D208" s="11" t="s">
        <v>57</v>
      </c>
      <c r="F208" s="12">
        <v>0</v>
      </c>
      <c r="G208" s="12"/>
      <c r="H208" s="12">
        <v>594141.2</v>
      </c>
      <c r="I208" s="12"/>
      <c r="J208" s="12">
        <v>0</v>
      </c>
      <c r="K208" s="12"/>
      <c r="L208" s="12">
        <v>37281.78</v>
      </c>
      <c r="M208" s="12"/>
      <c r="N208" s="12">
        <v>0</v>
      </c>
      <c r="O208" s="12"/>
      <c r="P208" s="12">
        <v>53803.11</v>
      </c>
      <c r="Q208" s="12"/>
      <c r="R208" s="12">
        <v>84436.67</v>
      </c>
      <c r="S208" s="12"/>
      <c r="T208" s="12">
        <v>22907.6</v>
      </c>
      <c r="U208" s="12"/>
      <c r="V208" s="12">
        <v>0</v>
      </c>
      <c r="W208" s="12"/>
      <c r="X208" s="12">
        <v>0</v>
      </c>
      <c r="Y208" s="12"/>
      <c r="Z208" s="12">
        <v>0</v>
      </c>
      <c r="AA208" s="12"/>
      <c r="AB208" s="12">
        <v>0</v>
      </c>
      <c r="AC208" s="12"/>
      <c r="AD208" s="12">
        <f t="shared" si="5"/>
        <v>792570.36</v>
      </c>
    </row>
    <row r="209" spans="1:30" s="11" customFormat="1" ht="12">
      <c r="A209" s="11" t="s">
        <v>381</v>
      </c>
      <c r="C209" s="11" t="s">
        <v>136</v>
      </c>
      <c r="D209" s="11" t="s">
        <v>20</v>
      </c>
      <c r="F209" s="12">
        <v>0</v>
      </c>
      <c r="G209" s="12"/>
      <c r="H209" s="12">
        <v>182358.96</v>
      </c>
      <c r="I209" s="12"/>
      <c r="J209" s="12">
        <v>2225.96</v>
      </c>
      <c r="K209" s="12"/>
      <c r="L209" s="12">
        <v>10180.85</v>
      </c>
      <c r="M209" s="12"/>
      <c r="N209" s="12">
        <v>0</v>
      </c>
      <c r="O209" s="12"/>
      <c r="P209" s="12">
        <v>253.9</v>
      </c>
      <c r="Q209" s="12"/>
      <c r="R209" s="12">
        <v>5281.34</v>
      </c>
      <c r="S209" s="12"/>
      <c r="T209" s="12">
        <v>563.96</v>
      </c>
      <c r="U209" s="12"/>
      <c r="V209" s="12">
        <v>0</v>
      </c>
      <c r="W209" s="12"/>
      <c r="X209" s="12">
        <v>0</v>
      </c>
      <c r="Y209" s="12"/>
      <c r="Z209" s="12">
        <v>0</v>
      </c>
      <c r="AA209" s="12"/>
      <c r="AB209" s="12">
        <v>0</v>
      </c>
      <c r="AC209" s="12"/>
      <c r="AD209" s="12">
        <f t="shared" si="5"/>
        <v>200864.96999999997</v>
      </c>
    </row>
    <row r="210" spans="1:30" s="11" customFormat="1" ht="12">
      <c r="A210" s="11" t="s">
        <v>382</v>
      </c>
      <c r="C210" s="11" t="s">
        <v>143</v>
      </c>
      <c r="D210" s="11" t="s">
        <v>49</v>
      </c>
      <c r="F210" s="12">
        <v>0</v>
      </c>
      <c r="G210" s="12"/>
      <c r="H210" s="12">
        <v>192516.36</v>
      </c>
      <c r="I210" s="12"/>
      <c r="J210" s="12">
        <v>0</v>
      </c>
      <c r="K210" s="12"/>
      <c r="L210" s="12">
        <v>2002.91</v>
      </c>
      <c r="M210" s="12"/>
      <c r="N210" s="12">
        <v>0</v>
      </c>
      <c r="O210" s="12"/>
      <c r="P210" s="12">
        <v>1375</v>
      </c>
      <c r="Q210" s="12"/>
      <c r="R210" s="12">
        <v>2188.71</v>
      </c>
      <c r="S210" s="12"/>
      <c r="T210" s="12">
        <v>585.46</v>
      </c>
      <c r="U210" s="12"/>
      <c r="V210" s="12">
        <v>0</v>
      </c>
      <c r="W210" s="12"/>
      <c r="X210" s="12">
        <v>0</v>
      </c>
      <c r="Y210" s="12"/>
      <c r="Z210" s="12">
        <v>0</v>
      </c>
      <c r="AA210" s="12"/>
      <c r="AB210" s="12">
        <v>0</v>
      </c>
      <c r="AC210" s="12"/>
      <c r="AD210" s="12">
        <f t="shared" si="5"/>
        <v>198668.43999999997</v>
      </c>
    </row>
    <row r="211" spans="1:30" s="11" customFormat="1" ht="12">
      <c r="A211" s="11" t="s">
        <v>383</v>
      </c>
      <c r="C211" s="11" t="s">
        <v>110</v>
      </c>
      <c r="D211" s="11" t="s">
        <v>39</v>
      </c>
      <c r="F211" s="12">
        <v>3236932</v>
      </c>
      <c r="G211" s="12"/>
      <c r="H211" s="12">
        <v>815919</v>
      </c>
      <c r="I211" s="12"/>
      <c r="J211" s="12">
        <v>356582</v>
      </c>
      <c r="K211" s="12"/>
      <c r="L211" s="12">
        <v>48399</v>
      </c>
      <c r="M211" s="12"/>
      <c r="N211" s="12">
        <v>0</v>
      </c>
      <c r="O211" s="12"/>
      <c r="P211" s="12">
        <v>18699</v>
      </c>
      <c r="Q211" s="12"/>
      <c r="R211" s="12">
        <v>355482</v>
      </c>
      <c r="S211" s="12"/>
      <c r="T211" s="12">
        <v>4299</v>
      </c>
      <c r="U211" s="12"/>
      <c r="V211" s="12">
        <v>0</v>
      </c>
      <c r="W211" s="12"/>
      <c r="X211" s="12">
        <v>0</v>
      </c>
      <c r="Y211" s="12"/>
      <c r="Z211" s="12">
        <v>0</v>
      </c>
      <c r="AA211" s="12"/>
      <c r="AB211" s="12">
        <v>0</v>
      </c>
      <c r="AC211" s="12"/>
      <c r="AD211" s="12">
        <f t="shared" si="5"/>
        <v>4836312</v>
      </c>
    </row>
    <row r="212" spans="1:30" s="11" customFormat="1" ht="12">
      <c r="A212" s="11" t="s">
        <v>384</v>
      </c>
      <c r="C212" s="11" t="s">
        <v>116</v>
      </c>
      <c r="D212" s="11" t="s">
        <v>65</v>
      </c>
      <c r="F212" s="12">
        <v>1810601</v>
      </c>
      <c r="G212" s="12"/>
      <c r="H212" s="12">
        <v>0</v>
      </c>
      <c r="I212" s="12"/>
      <c r="J212" s="12">
        <v>4553</v>
      </c>
      <c r="K212" s="12"/>
      <c r="L212" s="12">
        <v>26144</v>
      </c>
      <c r="M212" s="12"/>
      <c r="N212" s="12">
        <v>0</v>
      </c>
      <c r="O212" s="12"/>
      <c r="P212" s="12">
        <v>23073</v>
      </c>
      <c r="Q212" s="12"/>
      <c r="R212" s="12">
        <v>7541</v>
      </c>
      <c r="S212" s="12"/>
      <c r="T212" s="12">
        <v>12645</v>
      </c>
      <c r="U212" s="12"/>
      <c r="V212" s="12">
        <v>0</v>
      </c>
      <c r="W212" s="12"/>
      <c r="X212" s="12">
        <v>0</v>
      </c>
      <c r="Y212" s="12"/>
      <c r="Z212" s="12">
        <v>0</v>
      </c>
      <c r="AA212" s="12"/>
      <c r="AB212" s="12">
        <v>0</v>
      </c>
      <c r="AC212" s="12"/>
      <c r="AD212" s="12">
        <f t="shared" si="5"/>
        <v>1884557</v>
      </c>
    </row>
    <row r="213" spans="1:30" s="11" customFormat="1" ht="12">
      <c r="A213" s="11" t="s">
        <v>385</v>
      </c>
      <c r="C213" s="11" t="s">
        <v>158</v>
      </c>
      <c r="D213" s="11" t="s">
        <v>71</v>
      </c>
      <c r="F213" s="12">
        <v>399527</v>
      </c>
      <c r="G213" s="12"/>
      <c r="H213" s="12">
        <v>630470</v>
      </c>
      <c r="I213" s="12"/>
      <c r="J213" s="12">
        <v>22224</v>
      </c>
      <c r="K213" s="12"/>
      <c r="L213" s="12">
        <v>19933</v>
      </c>
      <c r="M213" s="12"/>
      <c r="N213" s="12">
        <v>0</v>
      </c>
      <c r="O213" s="12"/>
      <c r="P213" s="12">
        <v>45</v>
      </c>
      <c r="Q213" s="12"/>
      <c r="R213" s="12">
        <v>24320</v>
      </c>
      <c r="S213" s="12"/>
      <c r="T213" s="12">
        <v>5230</v>
      </c>
      <c r="U213" s="12"/>
      <c r="V213" s="12">
        <v>0</v>
      </c>
      <c r="W213" s="12"/>
      <c r="X213" s="12">
        <v>0</v>
      </c>
      <c r="Y213" s="12"/>
      <c r="Z213" s="12">
        <v>0</v>
      </c>
      <c r="AA213" s="12"/>
      <c r="AB213" s="12">
        <v>0</v>
      </c>
      <c r="AC213" s="12"/>
      <c r="AD213" s="12">
        <f t="shared" si="5"/>
        <v>1101749</v>
      </c>
    </row>
    <row r="214" spans="1:30" s="11" customFormat="1" ht="12">
      <c r="A214" s="11" t="s">
        <v>386</v>
      </c>
      <c r="C214" s="11" t="s">
        <v>162</v>
      </c>
      <c r="D214" s="11" t="s">
        <v>27</v>
      </c>
      <c r="F214" s="12">
        <v>0</v>
      </c>
      <c r="G214" s="12"/>
      <c r="H214" s="12">
        <v>0</v>
      </c>
      <c r="I214" s="12"/>
      <c r="J214" s="12">
        <v>249261.83</v>
      </c>
      <c r="K214" s="12"/>
      <c r="L214" s="12">
        <v>2178.93</v>
      </c>
      <c r="M214" s="12"/>
      <c r="N214" s="12">
        <v>0</v>
      </c>
      <c r="O214" s="12"/>
      <c r="P214" s="12">
        <v>700</v>
      </c>
      <c r="Q214" s="12"/>
      <c r="R214" s="12">
        <v>1263.52</v>
      </c>
      <c r="S214" s="12"/>
      <c r="T214" s="12">
        <v>1219.56</v>
      </c>
      <c r="U214" s="12"/>
      <c r="V214" s="12">
        <v>632.95</v>
      </c>
      <c r="W214" s="12"/>
      <c r="X214" s="12">
        <v>0</v>
      </c>
      <c r="Y214" s="12"/>
      <c r="Z214" s="12">
        <v>0</v>
      </c>
      <c r="AA214" s="12"/>
      <c r="AB214" s="12">
        <v>0</v>
      </c>
      <c r="AC214" s="12"/>
      <c r="AD214" s="12">
        <f t="shared" si="5"/>
        <v>255256.78999999998</v>
      </c>
    </row>
    <row r="215" spans="1:30" s="11" customFormat="1" ht="12">
      <c r="A215" s="11" t="s">
        <v>387</v>
      </c>
      <c r="C215" s="11" t="s">
        <v>155</v>
      </c>
      <c r="D215" s="11" t="s">
        <v>36</v>
      </c>
      <c r="F215" s="12">
        <v>0</v>
      </c>
      <c r="G215" s="12"/>
      <c r="H215" s="12">
        <v>311660.26</v>
      </c>
      <c r="I215" s="12"/>
      <c r="J215" s="12">
        <v>708</v>
      </c>
      <c r="K215" s="12"/>
      <c r="L215" s="12">
        <v>15262.79</v>
      </c>
      <c r="M215" s="12"/>
      <c r="N215" s="12">
        <v>0</v>
      </c>
      <c r="O215" s="12"/>
      <c r="P215" s="12">
        <v>5202.12</v>
      </c>
      <c r="Q215" s="12"/>
      <c r="R215" s="12">
        <v>11320.44</v>
      </c>
      <c r="S215" s="12"/>
      <c r="T215" s="12">
        <v>0</v>
      </c>
      <c r="U215" s="12"/>
      <c r="V215" s="12">
        <v>0</v>
      </c>
      <c r="W215" s="12"/>
      <c r="X215" s="12">
        <v>0</v>
      </c>
      <c r="Y215" s="12"/>
      <c r="Z215" s="12">
        <v>0</v>
      </c>
      <c r="AA215" s="12"/>
      <c r="AB215" s="12">
        <v>0</v>
      </c>
      <c r="AC215" s="12"/>
      <c r="AD215" s="12">
        <f t="shared" si="5"/>
        <v>344153.61</v>
      </c>
    </row>
    <row r="216" spans="1:30" s="11" customFormat="1" ht="12">
      <c r="A216" s="11" t="s">
        <v>388</v>
      </c>
      <c r="C216" s="11" t="s">
        <v>144</v>
      </c>
      <c r="D216" s="11" t="s">
        <v>34</v>
      </c>
      <c r="F216" s="12">
        <v>0</v>
      </c>
      <c r="G216" s="12"/>
      <c r="H216" s="12">
        <v>0</v>
      </c>
      <c r="I216" s="12"/>
      <c r="J216" s="12">
        <v>922268</v>
      </c>
      <c r="K216" s="12"/>
      <c r="L216" s="12">
        <v>28829</v>
      </c>
      <c r="M216" s="12"/>
      <c r="N216" s="12">
        <v>0</v>
      </c>
      <c r="O216" s="12"/>
      <c r="P216" s="12">
        <v>26268</v>
      </c>
      <c r="Q216" s="12"/>
      <c r="R216" s="12">
        <v>16740</v>
      </c>
      <c r="S216" s="12"/>
      <c r="T216" s="12">
        <v>726</v>
      </c>
      <c r="U216" s="12"/>
      <c r="V216" s="12">
        <v>0</v>
      </c>
      <c r="W216" s="12"/>
      <c r="X216" s="12">
        <v>0</v>
      </c>
      <c r="Y216" s="12"/>
      <c r="Z216" s="12">
        <v>0</v>
      </c>
      <c r="AA216" s="12"/>
      <c r="AB216" s="12">
        <v>0</v>
      </c>
      <c r="AC216" s="12"/>
      <c r="AD216" s="12">
        <f t="shared" si="5"/>
        <v>994831</v>
      </c>
    </row>
    <row r="217" spans="1:30" s="11" customFormat="1" ht="12">
      <c r="A217" s="11" t="s">
        <v>389</v>
      </c>
      <c r="C217" s="11" t="s">
        <v>147</v>
      </c>
      <c r="D217" s="11" t="s">
        <v>78</v>
      </c>
      <c r="F217" s="12">
        <v>0</v>
      </c>
      <c r="G217" s="12"/>
      <c r="H217" s="12">
        <v>708942</v>
      </c>
      <c r="I217" s="12"/>
      <c r="J217" s="12">
        <v>0</v>
      </c>
      <c r="K217" s="12"/>
      <c r="L217" s="12">
        <v>9438</v>
      </c>
      <c r="M217" s="12"/>
      <c r="N217" s="12">
        <v>0</v>
      </c>
      <c r="O217" s="12"/>
      <c r="P217" s="12">
        <v>856</v>
      </c>
      <c r="Q217" s="12"/>
      <c r="R217" s="12">
        <v>2758</v>
      </c>
      <c r="S217" s="12"/>
      <c r="T217" s="12">
        <v>1482</v>
      </c>
      <c r="U217" s="12"/>
      <c r="V217" s="12">
        <v>0</v>
      </c>
      <c r="W217" s="12"/>
      <c r="X217" s="12">
        <v>0</v>
      </c>
      <c r="Y217" s="12"/>
      <c r="Z217" s="12">
        <v>0</v>
      </c>
      <c r="AA217" s="12"/>
      <c r="AB217" s="12">
        <v>0</v>
      </c>
      <c r="AC217" s="12"/>
      <c r="AD217" s="12">
        <f t="shared" si="5"/>
        <v>723476</v>
      </c>
    </row>
    <row r="218" spans="1:30" s="11" customFormat="1" ht="12">
      <c r="A218" s="11" t="s">
        <v>470</v>
      </c>
      <c r="C218" s="11" t="s">
        <v>278</v>
      </c>
      <c r="D218" s="11" t="s">
        <v>57</v>
      </c>
      <c r="F218" s="12">
        <v>681401</v>
      </c>
      <c r="G218" s="12"/>
      <c r="H218" s="12">
        <v>1840682</v>
      </c>
      <c r="I218" s="12"/>
      <c r="J218" s="12">
        <v>0</v>
      </c>
      <c r="K218" s="12"/>
      <c r="L218" s="12">
        <v>94761</v>
      </c>
      <c r="M218" s="12"/>
      <c r="N218" s="12">
        <v>1048</v>
      </c>
      <c r="O218" s="12"/>
      <c r="P218" s="12">
        <v>43086</v>
      </c>
      <c r="Q218" s="12"/>
      <c r="R218" s="12">
        <v>46597</v>
      </c>
      <c r="S218" s="12"/>
      <c r="T218" s="12">
        <v>23010</v>
      </c>
      <c r="U218" s="12"/>
      <c r="V218" s="12">
        <v>0</v>
      </c>
      <c r="W218" s="12"/>
      <c r="X218" s="12">
        <v>42767</v>
      </c>
      <c r="Y218" s="12"/>
      <c r="Z218" s="12">
        <v>0</v>
      </c>
      <c r="AA218" s="12"/>
      <c r="AB218" s="12">
        <v>0</v>
      </c>
      <c r="AC218" s="12"/>
      <c r="AD218" s="12">
        <f t="shared" si="5"/>
        <v>2773352</v>
      </c>
    </row>
    <row r="219" spans="1:30" s="11" customFormat="1" ht="12">
      <c r="A219" s="11" t="s">
        <v>391</v>
      </c>
      <c r="C219" s="11" t="s">
        <v>161</v>
      </c>
      <c r="D219" s="11" t="s">
        <v>32</v>
      </c>
      <c r="F219" s="12">
        <v>0</v>
      </c>
      <c r="G219" s="12"/>
      <c r="H219" s="12">
        <v>260969.57</v>
      </c>
      <c r="I219" s="12"/>
      <c r="J219" s="12">
        <v>0</v>
      </c>
      <c r="K219" s="12"/>
      <c r="L219" s="12">
        <v>13417.91</v>
      </c>
      <c r="M219" s="12"/>
      <c r="N219" s="12">
        <v>0</v>
      </c>
      <c r="O219" s="12"/>
      <c r="P219" s="12">
        <v>365</v>
      </c>
      <c r="Q219" s="12"/>
      <c r="R219" s="12">
        <v>9143.37</v>
      </c>
      <c r="S219" s="12"/>
      <c r="T219" s="12">
        <v>0</v>
      </c>
      <c r="U219" s="12"/>
      <c r="V219" s="12">
        <v>0</v>
      </c>
      <c r="W219" s="12"/>
      <c r="X219" s="12">
        <v>0</v>
      </c>
      <c r="Y219" s="12"/>
      <c r="Z219" s="12">
        <v>0</v>
      </c>
      <c r="AA219" s="12"/>
      <c r="AB219" s="12">
        <v>0</v>
      </c>
      <c r="AC219" s="12"/>
      <c r="AD219" s="12">
        <f t="shared" si="5"/>
        <v>283895.85</v>
      </c>
    </row>
    <row r="220" spans="1:30" s="11" customFormat="1" ht="12">
      <c r="A220" s="11" t="s">
        <v>392</v>
      </c>
      <c r="C220" s="11" t="s">
        <v>138</v>
      </c>
      <c r="D220" s="11" t="s">
        <v>24</v>
      </c>
      <c r="F220" s="12">
        <v>0</v>
      </c>
      <c r="G220" s="12"/>
      <c r="H220" s="12">
        <v>168773.23</v>
      </c>
      <c r="I220" s="12"/>
      <c r="J220" s="12">
        <v>0</v>
      </c>
      <c r="K220" s="12"/>
      <c r="L220" s="12">
        <v>2143.43</v>
      </c>
      <c r="M220" s="12"/>
      <c r="N220" s="12">
        <v>0</v>
      </c>
      <c r="O220" s="12"/>
      <c r="P220" s="12">
        <v>18658.97</v>
      </c>
      <c r="Q220" s="12"/>
      <c r="R220" s="12">
        <v>799.51</v>
      </c>
      <c r="S220" s="12"/>
      <c r="T220" s="12">
        <v>1140.48</v>
      </c>
      <c r="U220" s="12"/>
      <c r="V220" s="12">
        <v>0</v>
      </c>
      <c r="W220" s="12"/>
      <c r="X220" s="12">
        <v>0</v>
      </c>
      <c r="Y220" s="12"/>
      <c r="Z220" s="12">
        <v>0</v>
      </c>
      <c r="AA220" s="12"/>
      <c r="AB220" s="12">
        <v>0</v>
      </c>
      <c r="AC220" s="12"/>
      <c r="AD220" s="12">
        <f t="shared" si="5"/>
        <v>191515.62000000002</v>
      </c>
    </row>
    <row r="221" spans="1:30" s="11" customFormat="1" ht="12">
      <c r="A221" s="11" t="s">
        <v>393</v>
      </c>
      <c r="C221" s="11" t="s">
        <v>110</v>
      </c>
      <c r="D221" s="11" t="s">
        <v>39</v>
      </c>
      <c r="F221" s="12">
        <v>3122699</v>
      </c>
      <c r="G221" s="12"/>
      <c r="H221" s="12">
        <v>1849598</v>
      </c>
      <c r="I221" s="12"/>
      <c r="J221" s="12">
        <v>0</v>
      </c>
      <c r="K221" s="12"/>
      <c r="L221" s="12">
        <v>129169</v>
      </c>
      <c r="M221" s="12"/>
      <c r="N221" s="12">
        <v>0</v>
      </c>
      <c r="O221" s="12"/>
      <c r="P221" s="12">
        <v>660</v>
      </c>
      <c r="Q221" s="12"/>
      <c r="R221" s="12">
        <v>71755</v>
      </c>
      <c r="S221" s="12"/>
      <c r="T221" s="12">
        <v>71426</v>
      </c>
      <c r="U221" s="12"/>
      <c r="V221" s="12">
        <v>0</v>
      </c>
      <c r="W221" s="12"/>
      <c r="X221" s="12">
        <v>0</v>
      </c>
      <c r="Y221" s="12"/>
      <c r="Z221" s="12">
        <v>0</v>
      </c>
      <c r="AA221" s="12"/>
      <c r="AB221" s="12">
        <v>0</v>
      </c>
      <c r="AC221" s="12"/>
      <c r="AD221" s="12">
        <f t="shared" si="5"/>
        <v>5245307</v>
      </c>
    </row>
    <row r="222" spans="6:30" s="11" customFormat="1" ht="12"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7" t="s">
        <v>98</v>
      </c>
    </row>
    <row r="223" spans="1:30" s="11" customFormat="1" ht="12">
      <c r="A223" s="11" t="s">
        <v>394</v>
      </c>
      <c r="C223" s="11" t="s">
        <v>205</v>
      </c>
      <c r="D223" s="11" t="s">
        <v>79</v>
      </c>
      <c r="F223" s="26">
        <v>0</v>
      </c>
      <c r="G223" s="26"/>
      <c r="H223" s="26">
        <v>0</v>
      </c>
      <c r="I223" s="26"/>
      <c r="J223" s="26">
        <v>0</v>
      </c>
      <c r="K223" s="26"/>
      <c r="L223" s="26">
        <v>0</v>
      </c>
      <c r="M223" s="26"/>
      <c r="N223" s="26">
        <v>59755</v>
      </c>
      <c r="O223" s="26"/>
      <c r="P223" s="26">
        <v>0</v>
      </c>
      <c r="Q223" s="26"/>
      <c r="R223" s="26">
        <v>857</v>
      </c>
      <c r="S223" s="26"/>
      <c r="T223" s="26">
        <v>0</v>
      </c>
      <c r="U223" s="26"/>
      <c r="V223" s="26">
        <v>0</v>
      </c>
      <c r="W223" s="26"/>
      <c r="X223" s="26">
        <v>0</v>
      </c>
      <c r="Y223" s="26"/>
      <c r="Z223" s="26">
        <v>0</v>
      </c>
      <c r="AA223" s="26"/>
      <c r="AB223" s="26">
        <v>0</v>
      </c>
      <c r="AC223" s="26"/>
      <c r="AD223" s="26">
        <f t="shared" si="5"/>
        <v>60612</v>
      </c>
    </row>
    <row r="224" spans="1:30" s="11" customFormat="1" ht="12">
      <c r="A224" s="11" t="s">
        <v>395</v>
      </c>
      <c r="C224" s="11" t="s">
        <v>188</v>
      </c>
      <c r="D224" s="11" t="s">
        <v>25</v>
      </c>
      <c r="F224" s="12">
        <v>0</v>
      </c>
      <c r="G224" s="12"/>
      <c r="H224" s="12">
        <v>4124950</v>
      </c>
      <c r="I224" s="12"/>
      <c r="J224" s="12">
        <v>0</v>
      </c>
      <c r="K224" s="12"/>
      <c r="L224" s="12">
        <v>154618</v>
      </c>
      <c r="M224" s="12"/>
      <c r="N224" s="12">
        <v>0</v>
      </c>
      <c r="O224" s="12"/>
      <c r="P224" s="12">
        <v>10860</v>
      </c>
      <c r="Q224" s="12"/>
      <c r="R224" s="12">
        <v>57546</v>
      </c>
      <c r="S224" s="12"/>
      <c r="T224" s="12">
        <v>27968</v>
      </c>
      <c r="U224" s="12"/>
      <c r="V224" s="12">
        <v>0</v>
      </c>
      <c r="W224" s="12"/>
      <c r="X224" s="12">
        <v>0</v>
      </c>
      <c r="Y224" s="12"/>
      <c r="Z224" s="12">
        <v>0</v>
      </c>
      <c r="AA224" s="12"/>
      <c r="AB224" s="12">
        <v>0</v>
      </c>
      <c r="AC224" s="12"/>
      <c r="AD224" s="12">
        <f t="shared" si="5"/>
        <v>4375942</v>
      </c>
    </row>
    <row r="225" spans="1:30" s="11" customFormat="1" ht="12">
      <c r="A225" s="11" t="s">
        <v>396</v>
      </c>
      <c r="C225" s="11" t="s">
        <v>137</v>
      </c>
      <c r="D225" s="11" t="s">
        <v>88</v>
      </c>
      <c r="F225" s="12">
        <v>0</v>
      </c>
      <c r="G225" s="12"/>
      <c r="H225" s="12">
        <v>532294.88</v>
      </c>
      <c r="I225" s="12"/>
      <c r="J225" s="12">
        <v>0</v>
      </c>
      <c r="K225" s="12"/>
      <c r="L225" s="12">
        <v>12161.79</v>
      </c>
      <c r="M225" s="12"/>
      <c r="N225" s="12">
        <v>0</v>
      </c>
      <c r="O225" s="12"/>
      <c r="P225" s="12">
        <v>3968.75</v>
      </c>
      <c r="Q225" s="12"/>
      <c r="R225" s="12">
        <v>0</v>
      </c>
      <c r="S225" s="12"/>
      <c r="T225" s="12">
        <v>1795.97</v>
      </c>
      <c r="U225" s="12"/>
      <c r="V225" s="12">
        <v>0</v>
      </c>
      <c r="W225" s="12"/>
      <c r="X225" s="12">
        <v>0</v>
      </c>
      <c r="Y225" s="12"/>
      <c r="Z225" s="12">
        <v>0</v>
      </c>
      <c r="AA225" s="12"/>
      <c r="AB225" s="12">
        <v>0</v>
      </c>
      <c r="AC225" s="12"/>
      <c r="AD225" s="12">
        <f t="shared" si="5"/>
        <v>550221.39</v>
      </c>
    </row>
    <row r="226" spans="1:30" s="11" customFormat="1" ht="12">
      <c r="A226" s="11" t="s">
        <v>471</v>
      </c>
      <c r="C226" s="11" t="s">
        <v>104</v>
      </c>
      <c r="D226" s="11" t="s">
        <v>22</v>
      </c>
      <c r="F226" s="12">
        <v>0</v>
      </c>
      <c r="G226" s="12"/>
      <c r="H226" s="12">
        <v>513815.96</v>
      </c>
      <c r="I226" s="12"/>
      <c r="J226" s="12">
        <v>0</v>
      </c>
      <c r="K226" s="12"/>
      <c r="L226" s="12">
        <v>11860.76</v>
      </c>
      <c r="M226" s="12"/>
      <c r="N226" s="12">
        <v>0</v>
      </c>
      <c r="O226" s="12"/>
      <c r="P226" s="12">
        <v>6163.5</v>
      </c>
      <c r="Q226" s="12"/>
      <c r="R226" s="12">
        <v>10415.58</v>
      </c>
      <c r="S226" s="12"/>
      <c r="T226" s="12">
        <v>5165.19</v>
      </c>
      <c r="U226" s="12"/>
      <c r="V226" s="12">
        <v>0</v>
      </c>
      <c r="W226" s="12"/>
      <c r="X226" s="12">
        <v>0</v>
      </c>
      <c r="Y226" s="12"/>
      <c r="Z226" s="12">
        <v>0</v>
      </c>
      <c r="AA226" s="12"/>
      <c r="AB226" s="12">
        <v>0</v>
      </c>
      <c r="AC226" s="12"/>
      <c r="AD226" s="12">
        <f t="shared" si="5"/>
        <v>547420.9899999999</v>
      </c>
    </row>
    <row r="227" spans="1:30" s="11" customFormat="1" ht="12">
      <c r="A227" s="11" t="s">
        <v>398</v>
      </c>
      <c r="C227" s="11" t="s">
        <v>116</v>
      </c>
      <c r="D227" s="11" t="s">
        <v>65</v>
      </c>
      <c r="F227" s="12">
        <v>4358475</v>
      </c>
      <c r="G227" s="12"/>
      <c r="H227" s="12">
        <v>8247623</v>
      </c>
      <c r="I227" s="12"/>
      <c r="J227" s="12">
        <v>630182</v>
      </c>
      <c r="K227" s="12"/>
      <c r="L227" s="12">
        <v>221738</v>
      </c>
      <c r="M227" s="12"/>
      <c r="N227" s="12">
        <v>20699</v>
      </c>
      <c r="O227" s="12"/>
      <c r="P227" s="12">
        <v>17113</v>
      </c>
      <c r="Q227" s="12"/>
      <c r="R227" s="12">
        <v>363152</v>
      </c>
      <c r="S227" s="12"/>
      <c r="T227" s="12">
        <v>126416</v>
      </c>
      <c r="U227" s="12"/>
      <c r="V227" s="12">
        <v>0</v>
      </c>
      <c r="W227" s="12"/>
      <c r="X227" s="12">
        <v>927</v>
      </c>
      <c r="Y227" s="12"/>
      <c r="Z227" s="12">
        <v>0</v>
      </c>
      <c r="AA227" s="12"/>
      <c r="AB227" s="12">
        <v>0</v>
      </c>
      <c r="AC227" s="12"/>
      <c r="AD227" s="12">
        <f t="shared" si="5"/>
        <v>13986325</v>
      </c>
    </row>
    <row r="228" spans="1:30" s="11" customFormat="1" ht="12">
      <c r="A228" s="11" t="s">
        <v>399</v>
      </c>
      <c r="C228" s="11" t="s">
        <v>400</v>
      </c>
      <c r="D228" s="11" t="s">
        <v>80</v>
      </c>
      <c r="F228" s="12">
        <v>0</v>
      </c>
      <c r="G228" s="12"/>
      <c r="H228" s="12">
        <v>2957495</v>
      </c>
      <c r="I228" s="12"/>
      <c r="J228" s="12">
        <v>0</v>
      </c>
      <c r="K228" s="12"/>
      <c r="L228" s="12">
        <v>71916</v>
      </c>
      <c r="M228" s="12"/>
      <c r="N228" s="12">
        <v>0</v>
      </c>
      <c r="O228" s="12"/>
      <c r="P228" s="12">
        <v>3862</v>
      </c>
      <c r="Q228" s="12"/>
      <c r="R228" s="12">
        <v>140553</v>
      </c>
      <c r="S228" s="12"/>
      <c r="T228" s="12">
        <v>12235</v>
      </c>
      <c r="U228" s="12"/>
      <c r="V228" s="12">
        <v>0</v>
      </c>
      <c r="W228" s="12"/>
      <c r="X228" s="12">
        <v>0</v>
      </c>
      <c r="Y228" s="12"/>
      <c r="Z228" s="12">
        <v>0</v>
      </c>
      <c r="AA228" s="12"/>
      <c r="AB228" s="12">
        <v>0</v>
      </c>
      <c r="AC228" s="12"/>
      <c r="AD228" s="12">
        <f t="shared" si="5"/>
        <v>3186061</v>
      </c>
    </row>
    <row r="229" spans="1:30" s="11" customFormat="1" ht="12">
      <c r="A229" s="11" t="s">
        <v>401</v>
      </c>
      <c r="C229" s="11" t="s">
        <v>113</v>
      </c>
      <c r="D229" s="11" t="s">
        <v>17</v>
      </c>
      <c r="F229" s="12">
        <v>910062</v>
      </c>
      <c r="G229" s="12"/>
      <c r="H229" s="12">
        <v>0</v>
      </c>
      <c r="I229" s="12"/>
      <c r="J229" s="12">
        <v>1387272</v>
      </c>
      <c r="K229" s="12"/>
      <c r="L229" s="12">
        <v>97510</v>
      </c>
      <c r="M229" s="12"/>
      <c r="N229" s="12">
        <v>0</v>
      </c>
      <c r="O229" s="12"/>
      <c r="P229" s="12">
        <v>1658</v>
      </c>
      <c r="Q229" s="12"/>
      <c r="R229" s="12">
        <v>35548</v>
      </c>
      <c r="S229" s="12"/>
      <c r="T229" s="12">
        <v>4594</v>
      </c>
      <c r="U229" s="12"/>
      <c r="V229" s="12">
        <v>0</v>
      </c>
      <c r="W229" s="12"/>
      <c r="X229" s="12">
        <v>0</v>
      </c>
      <c r="Y229" s="12"/>
      <c r="Z229" s="12">
        <v>0</v>
      </c>
      <c r="AA229" s="12"/>
      <c r="AB229" s="12">
        <v>0</v>
      </c>
      <c r="AC229" s="12"/>
      <c r="AD229" s="12">
        <f t="shared" si="5"/>
        <v>2436644</v>
      </c>
    </row>
    <row r="230" spans="1:30" s="11" customFormat="1" ht="12">
      <c r="A230" s="11" t="s">
        <v>402</v>
      </c>
      <c r="C230" s="11" t="s">
        <v>135</v>
      </c>
      <c r="D230" s="11" t="s">
        <v>87</v>
      </c>
      <c r="F230" s="12">
        <v>0</v>
      </c>
      <c r="G230" s="12"/>
      <c r="H230" s="12">
        <v>353281.05</v>
      </c>
      <c r="I230" s="12"/>
      <c r="J230" s="12">
        <v>0</v>
      </c>
      <c r="K230" s="12"/>
      <c r="L230" s="12">
        <v>13457.8</v>
      </c>
      <c r="M230" s="12"/>
      <c r="N230" s="12">
        <v>0</v>
      </c>
      <c r="O230" s="12"/>
      <c r="P230" s="12">
        <v>15943.35</v>
      </c>
      <c r="Q230" s="12"/>
      <c r="R230" s="12">
        <v>6534.6</v>
      </c>
      <c r="S230" s="12"/>
      <c r="T230" s="12">
        <v>1768.14</v>
      </c>
      <c r="U230" s="12"/>
      <c r="V230" s="12">
        <v>0</v>
      </c>
      <c r="W230" s="12"/>
      <c r="X230" s="12">
        <v>0</v>
      </c>
      <c r="Y230" s="12"/>
      <c r="Z230" s="12">
        <v>0</v>
      </c>
      <c r="AA230" s="12"/>
      <c r="AB230" s="12">
        <v>0</v>
      </c>
      <c r="AC230" s="12"/>
      <c r="AD230" s="12">
        <f t="shared" si="5"/>
        <v>390984.93999999994</v>
      </c>
    </row>
    <row r="231" spans="1:30" s="26" customFormat="1" ht="12">
      <c r="A231" s="26" t="s">
        <v>472</v>
      </c>
      <c r="C231" s="26" t="s">
        <v>282</v>
      </c>
      <c r="D231" s="26" t="s">
        <v>72</v>
      </c>
      <c r="F231" s="12">
        <v>0</v>
      </c>
      <c r="G231" s="12"/>
      <c r="H231" s="12">
        <v>442394.18</v>
      </c>
      <c r="I231" s="12"/>
      <c r="J231" s="12">
        <v>4612</v>
      </c>
      <c r="K231" s="12"/>
      <c r="L231" s="12">
        <v>11830.4</v>
      </c>
      <c r="M231" s="12"/>
      <c r="N231" s="12">
        <v>0</v>
      </c>
      <c r="O231" s="12"/>
      <c r="P231" s="12">
        <v>4637.06</v>
      </c>
      <c r="Q231" s="12"/>
      <c r="R231" s="12">
        <v>6290.6</v>
      </c>
      <c r="S231" s="12"/>
      <c r="T231" s="12">
        <v>1778.26</v>
      </c>
      <c r="U231" s="12"/>
      <c r="V231" s="12">
        <v>0</v>
      </c>
      <c r="W231" s="12"/>
      <c r="X231" s="12">
        <v>0</v>
      </c>
      <c r="Y231" s="12"/>
      <c r="Z231" s="12">
        <v>0</v>
      </c>
      <c r="AA231" s="12"/>
      <c r="AB231" s="12">
        <v>0</v>
      </c>
      <c r="AC231" s="12"/>
      <c r="AD231" s="12">
        <f t="shared" si="5"/>
        <v>471542.5</v>
      </c>
    </row>
    <row r="232" spans="1:30" s="11" customFormat="1" ht="12">
      <c r="A232" s="11" t="s">
        <v>404</v>
      </c>
      <c r="C232" s="11" t="s">
        <v>113</v>
      </c>
      <c r="D232" s="11" t="s">
        <v>17</v>
      </c>
      <c r="F232" s="12">
        <v>1608560</v>
      </c>
      <c r="G232" s="12"/>
      <c r="H232" s="12">
        <v>0</v>
      </c>
      <c r="I232" s="12"/>
      <c r="J232" s="12">
        <v>0</v>
      </c>
      <c r="K232" s="12"/>
      <c r="L232" s="12">
        <v>26469</v>
      </c>
      <c r="M232" s="12"/>
      <c r="N232" s="12">
        <v>0</v>
      </c>
      <c r="O232" s="12"/>
      <c r="P232" s="12">
        <v>0</v>
      </c>
      <c r="Q232" s="12"/>
      <c r="R232" s="12">
        <v>2696</v>
      </c>
      <c r="S232" s="12"/>
      <c r="T232" s="12">
        <v>4256</v>
      </c>
      <c r="U232" s="12"/>
      <c r="V232" s="12">
        <v>0</v>
      </c>
      <c r="W232" s="12"/>
      <c r="X232" s="12">
        <v>0</v>
      </c>
      <c r="Y232" s="12"/>
      <c r="Z232" s="12">
        <v>0</v>
      </c>
      <c r="AA232" s="12"/>
      <c r="AB232" s="12">
        <v>0</v>
      </c>
      <c r="AC232" s="12"/>
      <c r="AD232" s="12">
        <f t="shared" si="5"/>
        <v>1641981</v>
      </c>
    </row>
    <row r="233" spans="1:30" s="11" customFormat="1" ht="12">
      <c r="A233" s="11" t="s">
        <v>405</v>
      </c>
      <c r="C233" s="11" t="s">
        <v>138</v>
      </c>
      <c r="D233" s="11" t="s">
        <v>24</v>
      </c>
      <c r="F233" s="12">
        <v>1168973</v>
      </c>
      <c r="G233" s="12"/>
      <c r="H233" s="12">
        <v>0</v>
      </c>
      <c r="I233" s="12"/>
      <c r="J233" s="12">
        <v>0</v>
      </c>
      <c r="K233" s="12"/>
      <c r="L233" s="12">
        <v>44363</v>
      </c>
      <c r="M233" s="12"/>
      <c r="N233" s="12">
        <v>0</v>
      </c>
      <c r="O233" s="12"/>
      <c r="P233" s="12">
        <v>54263</v>
      </c>
      <c r="Q233" s="12"/>
      <c r="R233" s="12">
        <v>84836</v>
      </c>
      <c r="S233" s="12"/>
      <c r="T233" s="12">
        <v>2099</v>
      </c>
      <c r="U233" s="12"/>
      <c r="V233" s="12">
        <v>0</v>
      </c>
      <c r="W233" s="12"/>
      <c r="X233" s="12">
        <v>0</v>
      </c>
      <c r="Y233" s="12"/>
      <c r="Z233" s="12">
        <v>0</v>
      </c>
      <c r="AA233" s="12"/>
      <c r="AB233" s="12">
        <v>0</v>
      </c>
      <c r="AC233" s="12"/>
      <c r="AD233" s="12">
        <f t="shared" si="5"/>
        <v>1354534</v>
      </c>
    </row>
    <row r="234" spans="1:30" s="11" customFormat="1" ht="12">
      <c r="A234" s="11" t="s">
        <v>406</v>
      </c>
      <c r="C234" s="11" t="s">
        <v>473</v>
      </c>
      <c r="D234" s="11" t="s">
        <v>81</v>
      </c>
      <c r="F234" s="12">
        <v>12881108</v>
      </c>
      <c r="G234" s="12"/>
      <c r="H234" s="12">
        <v>0</v>
      </c>
      <c r="I234" s="12"/>
      <c r="J234" s="12">
        <v>18576241</v>
      </c>
      <c r="K234" s="12"/>
      <c r="L234" s="12">
        <v>813154</v>
      </c>
      <c r="M234" s="12"/>
      <c r="N234" s="12">
        <v>1291</v>
      </c>
      <c r="O234" s="12"/>
      <c r="P234" s="12">
        <v>14951</v>
      </c>
      <c r="Q234" s="12"/>
      <c r="R234" s="12">
        <v>326404</v>
      </c>
      <c r="S234" s="12"/>
      <c r="T234" s="12">
        <v>366870</v>
      </c>
      <c r="U234" s="12"/>
      <c r="V234" s="12">
        <v>0</v>
      </c>
      <c r="W234" s="12"/>
      <c r="X234" s="12">
        <v>0</v>
      </c>
      <c r="Y234" s="12"/>
      <c r="Z234" s="12">
        <v>0</v>
      </c>
      <c r="AA234" s="12"/>
      <c r="AB234" s="12">
        <v>12667</v>
      </c>
      <c r="AC234" s="12"/>
      <c r="AD234" s="12">
        <f t="shared" si="5"/>
        <v>32992686</v>
      </c>
    </row>
    <row r="235" spans="1:30" s="11" customFormat="1" ht="12">
      <c r="A235" s="11" t="s">
        <v>514</v>
      </c>
      <c r="C235" s="11" t="s">
        <v>146</v>
      </c>
      <c r="D235" s="11" t="s">
        <v>82</v>
      </c>
      <c r="F235" s="12">
        <v>0</v>
      </c>
      <c r="G235" s="12"/>
      <c r="H235" s="12">
        <v>580154</v>
      </c>
      <c r="I235" s="12"/>
      <c r="J235" s="12">
        <v>0</v>
      </c>
      <c r="K235" s="12"/>
      <c r="L235" s="12">
        <v>18715</v>
      </c>
      <c r="M235" s="12"/>
      <c r="N235" s="12">
        <v>0</v>
      </c>
      <c r="O235" s="12"/>
      <c r="P235" s="12">
        <v>1866</v>
      </c>
      <c r="Q235" s="12"/>
      <c r="R235" s="12">
        <v>17859</v>
      </c>
      <c r="S235" s="12"/>
      <c r="T235" s="12">
        <v>8023</v>
      </c>
      <c r="U235" s="12"/>
      <c r="V235" s="12">
        <v>0</v>
      </c>
      <c r="W235" s="12"/>
      <c r="X235" s="12">
        <v>173</v>
      </c>
      <c r="Y235" s="12"/>
      <c r="Z235" s="12">
        <v>0</v>
      </c>
      <c r="AA235" s="12"/>
      <c r="AB235" s="12">
        <v>0</v>
      </c>
      <c r="AC235" s="12"/>
      <c r="AD235" s="12">
        <f t="shared" si="5"/>
        <v>626790</v>
      </c>
    </row>
    <row r="236" spans="1:30" s="11" customFormat="1" ht="12">
      <c r="A236" s="11" t="s">
        <v>408</v>
      </c>
      <c r="C236" s="11" t="s">
        <v>117</v>
      </c>
      <c r="D236" s="11" t="s">
        <v>44</v>
      </c>
      <c r="F236" s="12">
        <v>205738</v>
      </c>
      <c r="G236" s="12"/>
      <c r="H236" s="12">
        <v>0</v>
      </c>
      <c r="I236" s="12"/>
      <c r="J236" s="12">
        <v>1620841</v>
      </c>
      <c r="K236" s="12"/>
      <c r="L236" s="12">
        <v>43024</v>
      </c>
      <c r="M236" s="12"/>
      <c r="N236" s="12">
        <v>0</v>
      </c>
      <c r="O236" s="12"/>
      <c r="P236" s="12">
        <v>1830</v>
      </c>
      <c r="Q236" s="12"/>
      <c r="R236" s="12">
        <v>38206</v>
      </c>
      <c r="S236" s="12"/>
      <c r="T236" s="12">
        <v>514</v>
      </c>
      <c r="U236" s="12"/>
      <c r="V236" s="12">
        <v>0</v>
      </c>
      <c r="W236" s="12"/>
      <c r="X236" s="12">
        <v>0</v>
      </c>
      <c r="Y236" s="12"/>
      <c r="Z236" s="12">
        <v>0</v>
      </c>
      <c r="AA236" s="12"/>
      <c r="AB236" s="12">
        <v>0</v>
      </c>
      <c r="AC236" s="12"/>
      <c r="AD236" s="12">
        <f t="shared" si="5"/>
        <v>1910153</v>
      </c>
    </row>
    <row r="237" spans="1:30" s="11" customFormat="1" ht="12">
      <c r="A237" s="11" t="s">
        <v>474</v>
      </c>
      <c r="C237" s="11" t="s">
        <v>113</v>
      </c>
      <c r="D237" s="11" t="s">
        <v>17</v>
      </c>
      <c r="F237" s="12">
        <v>783413</v>
      </c>
      <c r="G237" s="12"/>
      <c r="H237" s="12">
        <v>1343418</v>
      </c>
      <c r="I237" s="12"/>
      <c r="J237" s="12">
        <v>116397</v>
      </c>
      <c r="K237" s="12"/>
      <c r="L237" s="12">
        <v>78393</v>
      </c>
      <c r="M237" s="12"/>
      <c r="N237" s="12">
        <v>0</v>
      </c>
      <c r="O237" s="12"/>
      <c r="P237" s="12">
        <v>16079</v>
      </c>
      <c r="Q237" s="12"/>
      <c r="R237" s="12">
        <v>31590</v>
      </c>
      <c r="S237" s="12"/>
      <c r="T237" s="12">
        <v>2287</v>
      </c>
      <c r="U237" s="12"/>
      <c r="V237" s="12">
        <v>0</v>
      </c>
      <c r="W237" s="12"/>
      <c r="X237" s="12">
        <v>0</v>
      </c>
      <c r="Y237" s="12"/>
      <c r="Z237" s="12">
        <v>0</v>
      </c>
      <c r="AA237" s="12"/>
      <c r="AB237" s="12">
        <v>0</v>
      </c>
      <c r="AC237" s="12"/>
      <c r="AD237" s="12">
        <f t="shared" si="5"/>
        <v>2371577</v>
      </c>
    </row>
    <row r="238" spans="1:30" s="11" customFormat="1" ht="12">
      <c r="A238" s="11" t="s">
        <v>410</v>
      </c>
      <c r="C238" s="11" t="s">
        <v>140</v>
      </c>
      <c r="D238" s="11" t="s">
        <v>83</v>
      </c>
      <c r="F238" s="12">
        <v>0</v>
      </c>
      <c r="G238" s="12"/>
      <c r="H238" s="12">
        <v>531630</v>
      </c>
      <c r="I238" s="12"/>
      <c r="J238" s="12">
        <v>0</v>
      </c>
      <c r="K238" s="12"/>
      <c r="L238" s="12">
        <v>13830</v>
      </c>
      <c r="M238" s="12"/>
      <c r="N238" s="12">
        <v>0</v>
      </c>
      <c r="O238" s="12"/>
      <c r="P238" s="12">
        <v>750</v>
      </c>
      <c r="Q238" s="12"/>
      <c r="R238" s="12">
        <v>843</v>
      </c>
      <c r="S238" s="12"/>
      <c r="T238" s="12">
        <v>10205</v>
      </c>
      <c r="U238" s="12"/>
      <c r="V238" s="12">
        <v>0</v>
      </c>
      <c r="W238" s="12"/>
      <c r="X238" s="12">
        <v>0</v>
      </c>
      <c r="Y238" s="12"/>
      <c r="Z238" s="12">
        <v>0</v>
      </c>
      <c r="AA238" s="12"/>
      <c r="AB238" s="12">
        <v>0</v>
      </c>
      <c r="AC238" s="12"/>
      <c r="AD238" s="12">
        <f t="shared" si="5"/>
        <v>557258</v>
      </c>
    </row>
    <row r="239" spans="1:30" s="11" customFormat="1" ht="12">
      <c r="A239" s="11" t="s">
        <v>411</v>
      </c>
      <c r="C239" s="11" t="s">
        <v>188</v>
      </c>
      <c r="D239" s="11" t="s">
        <v>25</v>
      </c>
      <c r="F239" s="12">
        <v>2001574</v>
      </c>
      <c r="G239" s="12"/>
      <c r="H239" s="12">
        <v>3200659</v>
      </c>
      <c r="I239" s="12"/>
      <c r="J239" s="12">
        <v>256129</v>
      </c>
      <c r="K239" s="12"/>
      <c r="L239" s="12">
        <v>191470</v>
      </c>
      <c r="M239" s="12"/>
      <c r="N239" s="12">
        <v>0</v>
      </c>
      <c r="O239" s="12"/>
      <c r="P239" s="12">
        <v>8015</v>
      </c>
      <c r="Q239" s="12"/>
      <c r="R239" s="12">
        <v>168700</v>
      </c>
      <c r="S239" s="12"/>
      <c r="T239" s="12">
        <v>5293</v>
      </c>
      <c r="U239" s="12"/>
      <c r="V239" s="12">
        <v>0</v>
      </c>
      <c r="W239" s="12"/>
      <c r="X239" s="12">
        <v>0</v>
      </c>
      <c r="Y239" s="12"/>
      <c r="Z239" s="12">
        <v>0</v>
      </c>
      <c r="AA239" s="12"/>
      <c r="AB239" s="12">
        <v>0</v>
      </c>
      <c r="AC239" s="12"/>
      <c r="AD239" s="12">
        <f t="shared" si="5"/>
        <v>5831840</v>
      </c>
    </row>
    <row r="240" spans="1:30" s="11" customFormat="1" ht="12">
      <c r="A240" s="11" t="s">
        <v>412</v>
      </c>
      <c r="C240" s="11" t="s">
        <v>156</v>
      </c>
      <c r="D240" s="11" t="s">
        <v>43</v>
      </c>
      <c r="F240" s="12">
        <v>0</v>
      </c>
      <c r="G240" s="12"/>
      <c r="H240" s="12">
        <v>337199</v>
      </c>
      <c r="I240" s="12"/>
      <c r="J240" s="12">
        <v>0</v>
      </c>
      <c r="K240" s="12"/>
      <c r="L240" s="12">
        <v>13139</v>
      </c>
      <c r="M240" s="12"/>
      <c r="N240" s="12">
        <v>0</v>
      </c>
      <c r="O240" s="12"/>
      <c r="P240" s="12">
        <v>4604</v>
      </c>
      <c r="Q240" s="12"/>
      <c r="R240" s="12">
        <v>26244</v>
      </c>
      <c r="S240" s="12"/>
      <c r="T240" s="12">
        <v>185</v>
      </c>
      <c r="U240" s="12"/>
      <c r="V240" s="12">
        <v>0</v>
      </c>
      <c r="W240" s="12"/>
      <c r="X240" s="12">
        <v>0</v>
      </c>
      <c r="Y240" s="12"/>
      <c r="Z240" s="12">
        <v>0</v>
      </c>
      <c r="AA240" s="12"/>
      <c r="AB240" s="12">
        <v>0</v>
      </c>
      <c r="AC240" s="12"/>
      <c r="AD240" s="12">
        <f t="shared" si="5"/>
        <v>381371</v>
      </c>
    </row>
    <row r="241" spans="1:30" s="11" customFormat="1" ht="12">
      <c r="A241" s="11" t="s">
        <v>413</v>
      </c>
      <c r="C241" s="11" t="s">
        <v>149</v>
      </c>
      <c r="D241" s="11" t="s">
        <v>29</v>
      </c>
      <c r="F241" s="12">
        <v>664782</v>
      </c>
      <c r="G241" s="12"/>
      <c r="H241" s="12">
        <v>4163786</v>
      </c>
      <c r="I241" s="12"/>
      <c r="J241" s="12">
        <v>6122</v>
      </c>
      <c r="K241" s="12"/>
      <c r="L241" s="12">
        <v>124819</v>
      </c>
      <c r="M241" s="12"/>
      <c r="N241" s="12">
        <v>560</v>
      </c>
      <c r="O241" s="12"/>
      <c r="P241" s="12">
        <v>332</v>
      </c>
      <c r="Q241" s="12"/>
      <c r="R241" s="12">
        <v>73965</v>
      </c>
      <c r="S241" s="12"/>
      <c r="T241" s="12">
        <v>77213</v>
      </c>
      <c r="U241" s="12"/>
      <c r="V241" s="12">
        <v>0</v>
      </c>
      <c r="W241" s="12"/>
      <c r="X241" s="12">
        <v>63990</v>
      </c>
      <c r="Y241" s="12"/>
      <c r="Z241" s="12">
        <v>0</v>
      </c>
      <c r="AA241" s="12"/>
      <c r="AB241" s="12">
        <v>0</v>
      </c>
      <c r="AC241" s="12"/>
      <c r="AD241" s="12">
        <f t="shared" si="5"/>
        <v>5175569</v>
      </c>
    </row>
    <row r="242" spans="1:30" s="11" customFormat="1" ht="12">
      <c r="A242" s="11" t="s">
        <v>414</v>
      </c>
      <c r="C242" s="11" t="s">
        <v>118</v>
      </c>
      <c r="D242" s="11" t="s">
        <v>84</v>
      </c>
      <c r="F242" s="12">
        <v>0</v>
      </c>
      <c r="G242" s="12"/>
      <c r="H242" s="12">
        <v>0</v>
      </c>
      <c r="I242" s="12"/>
      <c r="J242" s="12">
        <v>2369599</v>
      </c>
      <c r="K242" s="12"/>
      <c r="L242" s="12">
        <v>0</v>
      </c>
      <c r="M242" s="12"/>
      <c r="N242" s="12">
        <v>84231</v>
      </c>
      <c r="O242" s="12"/>
      <c r="P242" s="12">
        <v>5189</v>
      </c>
      <c r="Q242" s="12"/>
      <c r="R242" s="12">
        <v>70545</v>
      </c>
      <c r="S242" s="12"/>
      <c r="T242" s="12">
        <v>9825</v>
      </c>
      <c r="U242" s="12"/>
      <c r="V242" s="12">
        <v>0</v>
      </c>
      <c r="W242" s="12"/>
      <c r="X242" s="12">
        <v>0</v>
      </c>
      <c r="Y242" s="12"/>
      <c r="Z242" s="12">
        <v>0</v>
      </c>
      <c r="AA242" s="12"/>
      <c r="AB242" s="12">
        <v>835</v>
      </c>
      <c r="AC242" s="12"/>
      <c r="AD242" s="12">
        <f t="shared" si="5"/>
        <v>2540224</v>
      </c>
    </row>
    <row r="243" spans="1:30" s="11" customFormat="1" ht="12">
      <c r="A243" s="11" t="s">
        <v>415</v>
      </c>
      <c r="C243" s="11" t="s">
        <v>148</v>
      </c>
      <c r="D243" s="11" t="s">
        <v>40</v>
      </c>
      <c r="F243" s="12">
        <v>3415454</v>
      </c>
      <c r="G243" s="12"/>
      <c r="H243" s="12">
        <v>2635855</v>
      </c>
      <c r="I243" s="12"/>
      <c r="J243" s="12">
        <v>359291</v>
      </c>
      <c r="K243" s="12"/>
      <c r="L243" s="12">
        <v>221894</v>
      </c>
      <c r="M243" s="12"/>
      <c r="N243" s="12">
        <v>0</v>
      </c>
      <c r="O243" s="12"/>
      <c r="P243" s="12">
        <v>1795</v>
      </c>
      <c r="Q243" s="12"/>
      <c r="R243" s="12">
        <v>317092</v>
      </c>
      <c r="S243" s="12"/>
      <c r="T243" s="12">
        <v>18475</v>
      </c>
      <c r="U243" s="12"/>
      <c r="V243" s="12">
        <v>0</v>
      </c>
      <c r="W243" s="12"/>
      <c r="X243" s="12">
        <v>0</v>
      </c>
      <c r="Y243" s="12"/>
      <c r="Z243" s="12">
        <v>0</v>
      </c>
      <c r="AA243" s="12"/>
      <c r="AB243" s="12">
        <v>0</v>
      </c>
      <c r="AC243" s="12"/>
      <c r="AD243" s="12">
        <f t="shared" si="5"/>
        <v>6969856</v>
      </c>
    </row>
    <row r="244" spans="1:30" s="11" customFormat="1" ht="12">
      <c r="A244" s="11" t="s">
        <v>131</v>
      </c>
      <c r="C244" s="11" t="s">
        <v>135</v>
      </c>
      <c r="D244" s="11" t="s">
        <v>87</v>
      </c>
      <c r="F244" s="12">
        <v>0</v>
      </c>
      <c r="G244" s="12"/>
      <c r="H244" s="12">
        <v>377010.46</v>
      </c>
      <c r="I244" s="12"/>
      <c r="J244" s="12">
        <v>2887.04</v>
      </c>
      <c r="K244" s="12"/>
      <c r="L244" s="12">
        <v>12822.7</v>
      </c>
      <c r="M244" s="12"/>
      <c r="N244" s="12">
        <v>0</v>
      </c>
      <c r="O244" s="12"/>
      <c r="P244" s="12">
        <v>1348.84</v>
      </c>
      <c r="Q244" s="12"/>
      <c r="R244" s="12">
        <v>29756.22</v>
      </c>
      <c r="S244" s="12"/>
      <c r="T244" s="12">
        <v>4306.73</v>
      </c>
      <c r="U244" s="12"/>
      <c r="V244" s="12">
        <v>0</v>
      </c>
      <c r="W244" s="12"/>
      <c r="X244" s="12">
        <v>0</v>
      </c>
      <c r="Y244" s="12"/>
      <c r="Z244" s="12">
        <v>0</v>
      </c>
      <c r="AA244" s="12"/>
      <c r="AB244" s="12">
        <v>0</v>
      </c>
      <c r="AC244" s="12"/>
      <c r="AD244" s="12">
        <f t="shared" si="5"/>
        <v>428131.99</v>
      </c>
    </row>
    <row r="245" spans="1:30" s="11" customFormat="1" ht="12">
      <c r="A245" s="11" t="s">
        <v>416</v>
      </c>
      <c r="C245" s="11" t="s">
        <v>354</v>
      </c>
      <c r="D245" s="11" t="s">
        <v>73</v>
      </c>
      <c r="F245" s="12">
        <v>1444212</v>
      </c>
      <c r="G245" s="12"/>
      <c r="H245" s="12">
        <v>3539111</v>
      </c>
      <c r="I245" s="12"/>
      <c r="J245" s="12">
        <v>205435</v>
      </c>
      <c r="K245" s="12"/>
      <c r="L245" s="12">
        <v>196068</v>
      </c>
      <c r="M245" s="12"/>
      <c r="N245" s="12">
        <v>0</v>
      </c>
      <c r="O245" s="12"/>
      <c r="P245" s="12">
        <v>0</v>
      </c>
      <c r="Q245" s="12"/>
      <c r="R245" s="12">
        <v>100908</v>
      </c>
      <c r="S245" s="12"/>
      <c r="T245" s="12">
        <v>17781</v>
      </c>
      <c r="U245" s="12"/>
      <c r="V245" s="12">
        <v>0</v>
      </c>
      <c r="W245" s="12"/>
      <c r="X245" s="12">
        <v>0</v>
      </c>
      <c r="Y245" s="12"/>
      <c r="Z245" s="12">
        <v>0</v>
      </c>
      <c r="AA245" s="12"/>
      <c r="AB245" s="12">
        <v>0</v>
      </c>
      <c r="AC245" s="12"/>
      <c r="AD245" s="12">
        <f t="shared" si="5"/>
        <v>5503515</v>
      </c>
    </row>
    <row r="246" spans="1:30" s="11" customFormat="1" ht="12">
      <c r="A246" s="11" t="s">
        <v>417</v>
      </c>
      <c r="C246" s="11" t="s">
        <v>158</v>
      </c>
      <c r="D246" s="11" t="s">
        <v>71</v>
      </c>
      <c r="F246" s="12">
        <v>335222</v>
      </c>
      <c r="G246" s="12"/>
      <c r="H246" s="12">
        <v>0</v>
      </c>
      <c r="I246" s="12"/>
      <c r="J246" s="12">
        <v>0</v>
      </c>
      <c r="K246" s="12"/>
      <c r="L246" s="12">
        <v>6108</v>
      </c>
      <c r="M246" s="12"/>
      <c r="N246" s="12">
        <v>0</v>
      </c>
      <c r="O246" s="12"/>
      <c r="P246" s="12">
        <v>819</v>
      </c>
      <c r="Q246" s="12"/>
      <c r="R246" s="12">
        <v>18120</v>
      </c>
      <c r="S246" s="12"/>
      <c r="T246" s="12">
        <v>1645</v>
      </c>
      <c r="U246" s="12"/>
      <c r="V246" s="12">
        <v>0</v>
      </c>
      <c r="W246" s="12"/>
      <c r="X246" s="12">
        <v>0</v>
      </c>
      <c r="Y246" s="12"/>
      <c r="Z246" s="12">
        <v>0</v>
      </c>
      <c r="AA246" s="12"/>
      <c r="AB246" s="12">
        <v>0</v>
      </c>
      <c r="AC246" s="12"/>
      <c r="AD246" s="12">
        <f t="shared" si="5"/>
        <v>361914</v>
      </c>
    </row>
    <row r="247" spans="1:30" s="11" customFormat="1" ht="12">
      <c r="A247" s="11" t="s">
        <v>418</v>
      </c>
      <c r="C247" s="11" t="s">
        <v>158</v>
      </c>
      <c r="D247" s="11" t="s">
        <v>71</v>
      </c>
      <c r="F247" s="12">
        <v>0</v>
      </c>
      <c r="G247" s="12"/>
      <c r="H247" s="12">
        <v>1126532.88</v>
      </c>
      <c r="I247" s="12"/>
      <c r="J247" s="12">
        <v>72948.15</v>
      </c>
      <c r="K247" s="12"/>
      <c r="L247" s="12">
        <v>76656.81</v>
      </c>
      <c r="M247" s="12"/>
      <c r="N247" s="12">
        <v>0</v>
      </c>
      <c r="O247" s="12"/>
      <c r="P247" s="12">
        <v>4353.29</v>
      </c>
      <c r="Q247" s="12"/>
      <c r="R247" s="12">
        <v>27717.36</v>
      </c>
      <c r="S247" s="12"/>
      <c r="T247" s="12">
        <v>26013.16</v>
      </c>
      <c r="U247" s="12"/>
      <c r="V247" s="12">
        <v>2893.8</v>
      </c>
      <c r="W247" s="12"/>
      <c r="X247" s="12">
        <v>0</v>
      </c>
      <c r="Y247" s="12"/>
      <c r="Z247" s="12">
        <v>0</v>
      </c>
      <c r="AA247" s="12"/>
      <c r="AB247" s="12">
        <v>0</v>
      </c>
      <c r="AC247" s="12"/>
      <c r="AD247" s="12">
        <f t="shared" si="5"/>
        <v>1337115.45</v>
      </c>
    </row>
    <row r="248" spans="1:30" s="11" customFormat="1" ht="12">
      <c r="A248" s="11" t="s">
        <v>419</v>
      </c>
      <c r="C248" s="11" t="s">
        <v>144</v>
      </c>
      <c r="D248" s="11" t="s">
        <v>34</v>
      </c>
      <c r="F248" s="12">
        <v>0</v>
      </c>
      <c r="G248" s="12"/>
      <c r="H248" s="12">
        <v>428391.98</v>
      </c>
      <c r="I248" s="12"/>
      <c r="J248" s="12">
        <v>0</v>
      </c>
      <c r="K248" s="12"/>
      <c r="L248" s="12">
        <v>5192.6</v>
      </c>
      <c r="M248" s="12"/>
      <c r="N248" s="12">
        <v>0</v>
      </c>
      <c r="O248" s="12"/>
      <c r="P248" s="12">
        <v>1127</v>
      </c>
      <c r="Q248" s="12"/>
      <c r="R248" s="12">
        <v>26021.74</v>
      </c>
      <c r="S248" s="12"/>
      <c r="T248" s="12">
        <v>249.87</v>
      </c>
      <c r="U248" s="12"/>
      <c r="V248" s="12">
        <v>0</v>
      </c>
      <c r="W248" s="12"/>
      <c r="X248" s="12">
        <v>0</v>
      </c>
      <c r="Y248" s="12"/>
      <c r="Z248" s="12">
        <v>0</v>
      </c>
      <c r="AA248" s="12"/>
      <c r="AB248" s="12">
        <v>0</v>
      </c>
      <c r="AC248" s="12"/>
      <c r="AD248" s="12">
        <f t="shared" si="5"/>
        <v>460983.18999999994</v>
      </c>
    </row>
    <row r="249" spans="1:30" s="11" customFormat="1" ht="12">
      <c r="A249" s="11" t="s">
        <v>420</v>
      </c>
      <c r="C249" s="11" t="s">
        <v>158</v>
      </c>
      <c r="D249" s="11" t="s">
        <v>71</v>
      </c>
      <c r="F249" s="12">
        <v>0</v>
      </c>
      <c r="G249" s="12"/>
      <c r="H249" s="12">
        <v>401681.31</v>
      </c>
      <c r="I249" s="12"/>
      <c r="J249" s="12">
        <v>0</v>
      </c>
      <c r="K249" s="12"/>
      <c r="L249" s="12">
        <v>9098.54</v>
      </c>
      <c r="M249" s="12"/>
      <c r="N249" s="12">
        <v>0</v>
      </c>
      <c r="O249" s="12"/>
      <c r="P249" s="12">
        <v>1811.87</v>
      </c>
      <c r="Q249" s="12"/>
      <c r="R249" s="12">
        <v>32032.17</v>
      </c>
      <c r="S249" s="12"/>
      <c r="T249" s="12">
        <v>1414.04</v>
      </c>
      <c r="U249" s="12"/>
      <c r="V249" s="12">
        <v>0</v>
      </c>
      <c r="W249" s="12"/>
      <c r="X249" s="12">
        <v>0</v>
      </c>
      <c r="Y249" s="12"/>
      <c r="Z249" s="12">
        <v>0</v>
      </c>
      <c r="AA249" s="12"/>
      <c r="AB249" s="12">
        <v>0</v>
      </c>
      <c r="AC249" s="12"/>
      <c r="AD249" s="12">
        <f t="shared" si="5"/>
        <v>446037.92999999993</v>
      </c>
    </row>
    <row r="250" spans="1:30" s="11" customFormat="1" ht="12">
      <c r="A250" s="11" t="s">
        <v>132</v>
      </c>
      <c r="C250" s="11" t="s">
        <v>106</v>
      </c>
      <c r="D250" s="11" t="s">
        <v>46</v>
      </c>
      <c r="F250" s="12">
        <v>0</v>
      </c>
      <c r="G250" s="12"/>
      <c r="H250" s="12">
        <v>886419.64</v>
      </c>
      <c r="I250" s="12"/>
      <c r="J250" s="12">
        <v>0</v>
      </c>
      <c r="K250" s="12"/>
      <c r="L250" s="12">
        <v>29509.31</v>
      </c>
      <c r="M250" s="12"/>
      <c r="N250" s="12">
        <v>0</v>
      </c>
      <c r="O250" s="12"/>
      <c r="P250" s="12">
        <v>470</v>
      </c>
      <c r="Q250" s="12"/>
      <c r="R250" s="12">
        <v>61004.2</v>
      </c>
      <c r="S250" s="12"/>
      <c r="T250" s="12">
        <v>12213.21</v>
      </c>
      <c r="U250" s="12"/>
      <c r="V250" s="12">
        <v>1803.21</v>
      </c>
      <c r="W250" s="12"/>
      <c r="X250" s="12">
        <v>0</v>
      </c>
      <c r="Y250" s="12"/>
      <c r="Z250" s="12">
        <v>0</v>
      </c>
      <c r="AA250" s="12"/>
      <c r="AB250" s="12">
        <v>0</v>
      </c>
      <c r="AC250" s="12"/>
      <c r="AD250" s="12">
        <f t="shared" si="5"/>
        <v>991419.57</v>
      </c>
    </row>
    <row r="251" spans="1:30" s="11" customFormat="1" ht="12">
      <c r="A251" s="11" t="s">
        <v>421</v>
      </c>
      <c r="C251" s="11" t="s">
        <v>185</v>
      </c>
      <c r="D251" s="11" t="s">
        <v>15</v>
      </c>
      <c r="F251" s="12">
        <v>3300</v>
      </c>
      <c r="G251" s="12"/>
      <c r="H251" s="12">
        <v>789226</v>
      </c>
      <c r="I251" s="12"/>
      <c r="J251" s="12">
        <v>0</v>
      </c>
      <c r="K251" s="12"/>
      <c r="L251" s="12">
        <v>32772</v>
      </c>
      <c r="M251" s="12"/>
      <c r="N251" s="12">
        <v>0</v>
      </c>
      <c r="O251" s="12"/>
      <c r="P251" s="12">
        <v>6282</v>
      </c>
      <c r="Q251" s="12"/>
      <c r="R251" s="12">
        <v>16404</v>
      </c>
      <c r="S251" s="12"/>
      <c r="T251" s="12">
        <v>8564</v>
      </c>
      <c r="U251" s="12"/>
      <c r="V251" s="12">
        <v>0</v>
      </c>
      <c r="W251" s="12"/>
      <c r="X251" s="12">
        <v>0</v>
      </c>
      <c r="Y251" s="12"/>
      <c r="Z251" s="12">
        <v>0</v>
      </c>
      <c r="AA251" s="12"/>
      <c r="AB251" s="12">
        <v>0</v>
      </c>
      <c r="AC251" s="12"/>
      <c r="AD251" s="12">
        <f t="shared" si="5"/>
        <v>856548</v>
      </c>
    </row>
    <row r="252" spans="1:30" s="11" customFormat="1" ht="12">
      <c r="A252" s="11" t="s">
        <v>422</v>
      </c>
      <c r="C252" s="11" t="s">
        <v>327</v>
      </c>
      <c r="D252" s="11" t="s">
        <v>67</v>
      </c>
      <c r="F252" s="12">
        <v>628441</v>
      </c>
      <c r="G252" s="12"/>
      <c r="H252" s="12">
        <v>1195405</v>
      </c>
      <c r="I252" s="12"/>
      <c r="J252" s="12">
        <v>0</v>
      </c>
      <c r="K252" s="12"/>
      <c r="L252" s="12">
        <v>36580</v>
      </c>
      <c r="M252" s="12"/>
      <c r="N252" s="12">
        <v>0</v>
      </c>
      <c r="O252" s="12"/>
      <c r="P252" s="12">
        <v>28167</v>
      </c>
      <c r="Q252" s="12"/>
      <c r="R252" s="12">
        <v>28565</v>
      </c>
      <c r="S252" s="12"/>
      <c r="T252" s="12">
        <v>7480</v>
      </c>
      <c r="U252" s="12"/>
      <c r="V252" s="12">
        <v>0</v>
      </c>
      <c r="W252" s="12"/>
      <c r="X252" s="12">
        <v>41</v>
      </c>
      <c r="Y252" s="12"/>
      <c r="Z252" s="12">
        <v>0</v>
      </c>
      <c r="AA252" s="12"/>
      <c r="AB252" s="12">
        <v>0</v>
      </c>
      <c r="AC252" s="12"/>
      <c r="AD252" s="12">
        <f t="shared" si="5"/>
        <v>1924679</v>
      </c>
    </row>
    <row r="253" spans="1:30" s="11" customFormat="1" ht="12">
      <c r="A253" s="11" t="s">
        <v>423</v>
      </c>
      <c r="C253" s="11" t="s">
        <v>106</v>
      </c>
      <c r="D253" s="11" t="s">
        <v>46</v>
      </c>
      <c r="F253" s="12">
        <v>1807002</v>
      </c>
      <c r="G253" s="12"/>
      <c r="H253" s="12">
        <v>2234844</v>
      </c>
      <c r="I253" s="12"/>
      <c r="J253" s="12">
        <v>356919</v>
      </c>
      <c r="K253" s="12"/>
      <c r="L253" s="12">
        <v>121335</v>
      </c>
      <c r="M253" s="12"/>
      <c r="N253" s="12">
        <v>0</v>
      </c>
      <c r="O253" s="12"/>
      <c r="P253" s="12">
        <v>3070</v>
      </c>
      <c r="Q253" s="12"/>
      <c r="R253" s="12">
        <v>120048</v>
      </c>
      <c r="S253" s="12"/>
      <c r="T253" s="12">
        <v>67802</v>
      </c>
      <c r="U253" s="12"/>
      <c r="V253" s="12">
        <v>0</v>
      </c>
      <c r="W253" s="12"/>
      <c r="X253" s="12">
        <v>0</v>
      </c>
      <c r="Y253" s="12"/>
      <c r="Z253" s="12">
        <v>0</v>
      </c>
      <c r="AA253" s="12"/>
      <c r="AB253" s="12">
        <v>0</v>
      </c>
      <c r="AC253" s="12"/>
      <c r="AD253" s="12">
        <f t="shared" si="5"/>
        <v>4711020</v>
      </c>
    </row>
    <row r="254" spans="1:30" s="11" customFormat="1" ht="12">
      <c r="A254" s="11" t="s">
        <v>424</v>
      </c>
      <c r="C254" s="11" t="s">
        <v>162</v>
      </c>
      <c r="D254" s="11" t="s">
        <v>27</v>
      </c>
      <c r="F254" s="12">
        <v>0</v>
      </c>
      <c r="G254" s="12"/>
      <c r="H254" s="12">
        <v>706241.82</v>
      </c>
      <c r="I254" s="12"/>
      <c r="J254" s="12">
        <v>0</v>
      </c>
      <c r="K254" s="12"/>
      <c r="L254" s="12">
        <v>27149.33</v>
      </c>
      <c r="M254" s="12"/>
      <c r="N254" s="12">
        <v>0</v>
      </c>
      <c r="O254" s="12"/>
      <c r="P254" s="12">
        <v>11261.05</v>
      </c>
      <c r="Q254" s="12"/>
      <c r="R254" s="12">
        <v>11130.63</v>
      </c>
      <c r="S254" s="12"/>
      <c r="T254" s="12">
        <v>1481.51</v>
      </c>
      <c r="U254" s="12"/>
      <c r="V254" s="12">
        <v>0</v>
      </c>
      <c r="W254" s="12"/>
      <c r="X254" s="12">
        <v>0</v>
      </c>
      <c r="Y254" s="12"/>
      <c r="Z254" s="12">
        <v>0</v>
      </c>
      <c r="AA254" s="12"/>
      <c r="AB254" s="12">
        <v>0</v>
      </c>
      <c r="AC254" s="12"/>
      <c r="AD254" s="12">
        <f t="shared" si="5"/>
        <v>757264.34</v>
      </c>
    </row>
    <row r="255" spans="1:30" s="11" customFormat="1" ht="12">
      <c r="A255" s="11" t="s">
        <v>425</v>
      </c>
      <c r="C255" s="11" t="s">
        <v>158</v>
      </c>
      <c r="D255" s="11" t="s">
        <v>71</v>
      </c>
      <c r="F255" s="12">
        <v>0</v>
      </c>
      <c r="G255" s="12"/>
      <c r="H255" s="12">
        <v>1618678</v>
      </c>
      <c r="I255" s="12"/>
      <c r="J255" s="12">
        <v>0</v>
      </c>
      <c r="K255" s="12"/>
      <c r="L255" s="12">
        <v>41812</v>
      </c>
      <c r="M255" s="12"/>
      <c r="N255" s="12">
        <v>5344</v>
      </c>
      <c r="O255" s="12"/>
      <c r="P255" s="12">
        <v>171970</v>
      </c>
      <c r="Q255" s="12"/>
      <c r="R255" s="12">
        <v>24953</v>
      </c>
      <c r="S255" s="12"/>
      <c r="T255" s="12">
        <v>18911</v>
      </c>
      <c r="U255" s="12"/>
      <c r="V255" s="12">
        <v>0</v>
      </c>
      <c r="W255" s="12"/>
      <c r="X255" s="12">
        <v>6100</v>
      </c>
      <c r="Y255" s="12"/>
      <c r="Z255" s="12">
        <v>0</v>
      </c>
      <c r="AA255" s="12"/>
      <c r="AB255" s="12">
        <v>100000</v>
      </c>
      <c r="AC255" s="12"/>
      <c r="AD255" s="12">
        <f t="shared" si="5"/>
        <v>1987768</v>
      </c>
    </row>
    <row r="256" spans="1:30" s="11" customFormat="1" ht="12">
      <c r="A256" s="11" t="s">
        <v>426</v>
      </c>
      <c r="C256" s="11" t="s">
        <v>174</v>
      </c>
      <c r="D256" s="11" t="s">
        <v>86</v>
      </c>
      <c r="F256" s="12">
        <v>0</v>
      </c>
      <c r="G256" s="12"/>
      <c r="H256" s="12">
        <v>365327.31</v>
      </c>
      <c r="I256" s="12"/>
      <c r="J256" s="12">
        <v>0</v>
      </c>
      <c r="K256" s="12"/>
      <c r="L256" s="12">
        <v>10808.07</v>
      </c>
      <c r="M256" s="12"/>
      <c r="N256" s="12">
        <v>0</v>
      </c>
      <c r="O256" s="12"/>
      <c r="P256" s="12">
        <v>520</v>
      </c>
      <c r="Q256" s="12"/>
      <c r="R256" s="12">
        <v>4753.1</v>
      </c>
      <c r="S256" s="12"/>
      <c r="T256" s="12">
        <v>180</v>
      </c>
      <c r="U256" s="12"/>
      <c r="V256" s="12">
        <v>0</v>
      </c>
      <c r="W256" s="12"/>
      <c r="X256" s="12">
        <v>0</v>
      </c>
      <c r="Y256" s="12"/>
      <c r="Z256" s="12">
        <v>0</v>
      </c>
      <c r="AA256" s="12"/>
      <c r="AB256" s="12">
        <v>0</v>
      </c>
      <c r="AC256" s="12"/>
      <c r="AD256" s="12">
        <f t="shared" si="5"/>
        <v>381588.48</v>
      </c>
    </row>
    <row r="257" spans="1:30" s="11" customFormat="1" ht="12">
      <c r="A257" s="11" t="s">
        <v>475</v>
      </c>
      <c r="C257" s="11" t="s">
        <v>163</v>
      </c>
      <c r="D257" s="11" t="s">
        <v>42</v>
      </c>
      <c r="F257" s="12">
        <v>0</v>
      </c>
      <c r="G257" s="12"/>
      <c r="H257" s="12">
        <v>155597.72</v>
      </c>
      <c r="I257" s="12"/>
      <c r="J257" s="12">
        <v>0</v>
      </c>
      <c r="K257" s="12"/>
      <c r="L257" s="12">
        <v>1772.63</v>
      </c>
      <c r="M257" s="12"/>
      <c r="N257" s="12">
        <v>0</v>
      </c>
      <c r="O257" s="12"/>
      <c r="P257" s="12">
        <v>1022.35</v>
      </c>
      <c r="Q257" s="12"/>
      <c r="R257" s="12">
        <v>9608.53</v>
      </c>
      <c r="S257" s="12"/>
      <c r="T257" s="12">
        <v>129.98</v>
      </c>
      <c r="U257" s="12"/>
      <c r="V257" s="12">
        <v>235.25</v>
      </c>
      <c r="W257" s="12"/>
      <c r="X257" s="12">
        <v>0</v>
      </c>
      <c r="Y257" s="12"/>
      <c r="Z257" s="12">
        <v>0</v>
      </c>
      <c r="AA257" s="12"/>
      <c r="AB257" s="12">
        <v>0</v>
      </c>
      <c r="AC257" s="12"/>
      <c r="AD257" s="12">
        <f t="shared" si="5"/>
        <v>168366.46000000002</v>
      </c>
    </row>
    <row r="258" spans="1:30" s="11" customFormat="1" ht="12">
      <c r="A258" s="11" t="s">
        <v>428</v>
      </c>
      <c r="C258" s="11" t="s">
        <v>188</v>
      </c>
      <c r="D258" s="11" t="s">
        <v>25</v>
      </c>
      <c r="F258" s="12">
        <v>6885758</v>
      </c>
      <c r="G258" s="12"/>
      <c r="H258" s="12">
        <v>0</v>
      </c>
      <c r="I258" s="12"/>
      <c r="J258" s="12">
        <v>3036256</v>
      </c>
      <c r="K258" s="12"/>
      <c r="L258" s="12">
        <v>280352</v>
      </c>
      <c r="M258" s="12"/>
      <c r="N258" s="12">
        <v>756633</v>
      </c>
      <c r="O258" s="12"/>
      <c r="P258" s="12">
        <v>825</v>
      </c>
      <c r="Q258" s="12"/>
      <c r="R258" s="12">
        <v>342779</v>
      </c>
      <c r="S258" s="12"/>
      <c r="T258" s="12">
        <v>7924</v>
      </c>
      <c r="U258" s="12"/>
      <c r="V258" s="12">
        <v>0</v>
      </c>
      <c r="W258" s="12"/>
      <c r="X258" s="12">
        <v>0</v>
      </c>
      <c r="Y258" s="12"/>
      <c r="Z258" s="12">
        <v>0</v>
      </c>
      <c r="AA258" s="12"/>
      <c r="AB258" s="12">
        <v>0</v>
      </c>
      <c r="AC258" s="12"/>
      <c r="AD258" s="12">
        <f t="shared" si="5"/>
        <v>11310527</v>
      </c>
    </row>
    <row r="259" spans="1:30" s="11" customFormat="1" ht="12">
      <c r="A259" s="11" t="s">
        <v>429</v>
      </c>
      <c r="C259" s="11" t="s">
        <v>148</v>
      </c>
      <c r="D259" s="11" t="s">
        <v>40</v>
      </c>
      <c r="F259" s="12">
        <v>0</v>
      </c>
      <c r="G259" s="12"/>
      <c r="H259" s="12">
        <v>1468332.05</v>
      </c>
      <c r="I259" s="12"/>
      <c r="J259" s="12">
        <v>26976.78</v>
      </c>
      <c r="K259" s="12"/>
      <c r="L259" s="12">
        <v>54105.95</v>
      </c>
      <c r="M259" s="12"/>
      <c r="N259" s="12">
        <v>0</v>
      </c>
      <c r="O259" s="12"/>
      <c r="P259" s="12">
        <v>6543.9</v>
      </c>
      <c r="Q259" s="12"/>
      <c r="R259" s="12">
        <v>19233.08</v>
      </c>
      <c r="S259" s="12"/>
      <c r="T259" s="12">
        <v>8137.83</v>
      </c>
      <c r="U259" s="12"/>
      <c r="V259" s="12">
        <v>0</v>
      </c>
      <c r="W259" s="12"/>
      <c r="X259" s="12">
        <v>0</v>
      </c>
      <c r="Y259" s="12"/>
      <c r="Z259" s="12">
        <v>0</v>
      </c>
      <c r="AA259" s="12"/>
      <c r="AB259" s="12">
        <v>0</v>
      </c>
      <c r="AC259" s="12"/>
      <c r="AD259" s="12">
        <f t="shared" si="5"/>
        <v>1583329.59</v>
      </c>
    </row>
    <row r="260" spans="6:30" s="11" customFormat="1" ht="12"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="11" customFormat="1" ht="12"/>
    <row r="262" s="11" customFormat="1" ht="12"/>
    <row r="263" s="11" customFormat="1" ht="12"/>
    <row r="264" s="11" customFormat="1" ht="12"/>
    <row r="265" s="11" customFormat="1" ht="12"/>
    <row r="266" s="11" customFormat="1" ht="12"/>
    <row r="267" s="11" customFormat="1" ht="12"/>
    <row r="268" s="11" customFormat="1" ht="12"/>
    <row r="269" s="11" customFormat="1" ht="12"/>
    <row r="270" s="11" customFormat="1" ht="12"/>
    <row r="271" s="11" customFormat="1" ht="12"/>
    <row r="272" s="11" customFormat="1" ht="12"/>
    <row r="273" s="11" customFormat="1" ht="12"/>
    <row r="274" s="11" customFormat="1" ht="12"/>
    <row r="275" s="11" customFormat="1" ht="12"/>
    <row r="276" s="11" customFormat="1" ht="12"/>
    <row r="277" s="11" customFormat="1" ht="12"/>
    <row r="278" s="11" customFormat="1" ht="12"/>
    <row r="279" s="11" customFormat="1" ht="12"/>
    <row r="280" s="11" customFormat="1" ht="12"/>
    <row r="281" s="11" customFormat="1" ht="12"/>
    <row r="282" s="11" customFormat="1" ht="12"/>
    <row r="283" s="11" customFormat="1" ht="12"/>
    <row r="284" s="11" customFormat="1" ht="12"/>
    <row r="285" s="11" customFormat="1" ht="12"/>
    <row r="286" s="11" customFormat="1" ht="12"/>
    <row r="287" s="11" customFormat="1" ht="12"/>
    <row r="288" s="11" customFormat="1" ht="12"/>
    <row r="289" s="11" customFormat="1" ht="12"/>
    <row r="290" s="11" customFormat="1" ht="12"/>
    <row r="291" s="11" customFormat="1" ht="12"/>
    <row r="292" s="11" customFormat="1" ht="12"/>
    <row r="293" s="11" customFormat="1" ht="12"/>
    <row r="294" s="11" customFormat="1" ht="12"/>
    <row r="295" s="11" customFormat="1" ht="12"/>
    <row r="296" s="11" customFormat="1" ht="12"/>
    <row r="297" s="11" customFormat="1" ht="12"/>
  </sheetData>
  <printOptions horizontalCentered="1"/>
  <pageMargins left="0.8" right="0.8" top="0.5" bottom="0.5" header="0" footer="0.3"/>
  <pageSetup firstPageNumber="6" useFirstPageNumber="1" horizontalDpi="300" verticalDpi="300" orientation="portrait" pageOrder="overThenDown" scale="78" r:id="rId1"/>
  <headerFooter alignWithMargins="0">
    <oddFooter>&amp;C&amp;"Times New Roman,Regular"&amp;13&amp;P</oddFooter>
  </headerFooter>
  <rowBreaks count="3" manualBreakCount="3">
    <brk id="77" max="29" man="1"/>
    <brk id="151" max="29" man="1"/>
    <brk id="222" max="29" man="1"/>
  </rowBreaks>
  <colBreaks count="1" manualBreakCount="1">
    <brk id="14" min="7" max="2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K259"/>
  <sheetViews>
    <sheetView view="pageBreakPreview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"/>
    </sheetView>
  </sheetViews>
  <sheetFormatPr defaultColWidth="9.140625" defaultRowHeight="12.75"/>
  <cols>
    <col min="1" max="1" width="32.8515625" style="2" customWidth="1"/>
    <col min="2" max="2" width="1.7109375" style="2" customWidth="1"/>
    <col min="3" max="3" width="11.140625" style="2" customWidth="1"/>
    <col min="4" max="4" width="1.7109375" style="2" customWidth="1"/>
    <col min="5" max="5" width="11.7109375" style="2" customWidth="1"/>
    <col min="6" max="6" width="1.7109375" style="2" customWidth="1"/>
    <col min="7" max="7" width="11.7109375" style="2" customWidth="1"/>
    <col min="8" max="8" width="1.7109375" style="2" customWidth="1"/>
    <col min="9" max="9" width="10.7109375" style="2" customWidth="1"/>
    <col min="10" max="10" width="1.7109375" style="2" customWidth="1"/>
    <col min="11" max="11" width="10.7109375" style="2" customWidth="1"/>
    <col min="12" max="12" width="1.7109375" style="2" customWidth="1"/>
    <col min="13" max="13" width="11.7109375" style="2" customWidth="1"/>
    <col min="14" max="14" width="1.7109375" style="2" customWidth="1"/>
    <col min="15" max="15" width="11.7109375" style="2" customWidth="1"/>
    <col min="16" max="16" width="1.7109375" style="2" customWidth="1"/>
    <col min="17" max="17" width="11.7109375" style="2" customWidth="1"/>
    <col min="18" max="18" width="1.7109375" style="2" customWidth="1"/>
    <col min="19" max="19" width="11.7109375" style="2" customWidth="1"/>
    <col min="20" max="20" width="1.7109375" style="2" customWidth="1"/>
    <col min="21" max="21" width="11.7109375" style="2" customWidth="1"/>
    <col min="22" max="22" width="1.7109375" style="2" customWidth="1"/>
    <col min="23" max="23" width="11.7109375" style="2" customWidth="1"/>
    <col min="24" max="24" width="1.7109375" style="2" customWidth="1"/>
    <col min="25" max="25" width="11.7109375" style="2" customWidth="1"/>
    <col min="26" max="26" width="1.7109375" style="2" customWidth="1"/>
    <col min="27" max="27" width="11.7109375" style="2" customWidth="1"/>
    <col min="28" max="28" width="1.7109375" style="2" customWidth="1"/>
    <col min="29" max="29" width="11.7109375" style="2" customWidth="1"/>
    <col min="30" max="16384" width="9.140625" style="2" customWidth="1"/>
  </cols>
  <sheetData>
    <row r="1" ht="12">
      <c r="A1" s="2" t="s">
        <v>606</v>
      </c>
    </row>
    <row r="2" ht="12">
      <c r="A2" s="2" t="s">
        <v>513</v>
      </c>
    </row>
    <row r="3" ht="12">
      <c r="A3" s="39"/>
    </row>
    <row r="4" s="10" customFormat="1" ht="12"/>
    <row r="5" spans="7:27" s="10" customFormat="1" ht="12">
      <c r="G5" s="10" t="s">
        <v>476</v>
      </c>
      <c r="I5" s="10" t="s">
        <v>478</v>
      </c>
      <c r="K5" s="10" t="s">
        <v>99</v>
      </c>
      <c r="U5" s="10" t="s">
        <v>485</v>
      </c>
      <c r="AA5" s="10" t="s">
        <v>0</v>
      </c>
    </row>
    <row r="6" spans="7:27" s="10" customFormat="1" ht="12">
      <c r="G6" s="10" t="s">
        <v>477</v>
      </c>
      <c r="I6" s="10" t="s">
        <v>479</v>
      </c>
      <c r="K6" s="10" t="s">
        <v>480</v>
      </c>
      <c r="Q6" s="10" t="s">
        <v>121</v>
      </c>
      <c r="S6" s="10" t="s">
        <v>483</v>
      </c>
      <c r="U6" s="10" t="s">
        <v>486</v>
      </c>
      <c r="AA6" s="10" t="s">
        <v>446</v>
      </c>
    </row>
    <row r="7" spans="1:29" s="10" customFormat="1" ht="12" customHeight="1">
      <c r="A7" s="1" t="s">
        <v>99</v>
      </c>
      <c r="C7" s="1" t="s">
        <v>11</v>
      </c>
      <c r="D7" s="6"/>
      <c r="E7" s="1" t="s">
        <v>7</v>
      </c>
      <c r="F7" s="6"/>
      <c r="G7" s="1" t="s">
        <v>8</v>
      </c>
      <c r="H7" s="6"/>
      <c r="I7" s="1" t="s">
        <v>120</v>
      </c>
      <c r="J7" s="6"/>
      <c r="K7" s="1" t="s">
        <v>481</v>
      </c>
      <c r="L7" s="6"/>
      <c r="M7" s="1" t="s">
        <v>9</v>
      </c>
      <c r="N7" s="6"/>
      <c r="O7" s="1" t="s">
        <v>0</v>
      </c>
      <c r="P7" s="6"/>
      <c r="Q7" s="1" t="s">
        <v>482</v>
      </c>
      <c r="R7" s="6"/>
      <c r="S7" s="1" t="s">
        <v>484</v>
      </c>
      <c r="T7" s="6"/>
      <c r="U7" s="1" t="s">
        <v>487</v>
      </c>
      <c r="V7" s="6"/>
      <c r="W7" s="1" t="s">
        <v>3</v>
      </c>
      <c r="X7" s="6"/>
      <c r="Y7" s="1" t="s">
        <v>5</v>
      </c>
      <c r="Z7" s="6"/>
      <c r="AA7" s="1" t="s">
        <v>488</v>
      </c>
      <c r="AB7" s="6"/>
      <c r="AC7" s="7" t="s">
        <v>119</v>
      </c>
    </row>
    <row r="8" spans="1:30" ht="12">
      <c r="A8" s="2" t="s">
        <v>166</v>
      </c>
      <c r="C8" s="2" t="s">
        <v>154</v>
      </c>
      <c r="E8" s="5">
        <v>143898.23</v>
      </c>
      <c r="F8" s="5"/>
      <c r="G8" s="5">
        <v>44112.37</v>
      </c>
      <c r="H8" s="5"/>
      <c r="I8" s="5">
        <v>44227.39</v>
      </c>
      <c r="J8" s="5"/>
      <c r="K8" s="5">
        <v>34268.1</v>
      </c>
      <c r="L8" s="5"/>
      <c r="M8" s="5">
        <v>4562.96</v>
      </c>
      <c r="N8" s="5"/>
      <c r="O8" s="5">
        <v>1802</v>
      </c>
      <c r="P8" s="5"/>
      <c r="Q8" s="5">
        <v>3599.03</v>
      </c>
      <c r="R8" s="5"/>
      <c r="S8" s="5">
        <v>0</v>
      </c>
      <c r="T8" s="5"/>
      <c r="U8" s="5">
        <v>0</v>
      </c>
      <c r="V8" s="5"/>
      <c r="W8" s="5">
        <v>57500</v>
      </c>
      <c r="X8" s="5"/>
      <c r="Y8" s="5">
        <v>0</v>
      </c>
      <c r="Z8" s="5"/>
      <c r="AA8" s="5">
        <v>0</v>
      </c>
      <c r="AB8" s="5"/>
      <c r="AC8" s="5">
        <f>SUM(E8:AA8)</f>
        <v>333970.08</v>
      </c>
      <c r="AD8" s="5"/>
    </row>
    <row r="9" spans="1:29" s="11" customFormat="1" ht="12">
      <c r="A9" s="11" t="s">
        <v>167</v>
      </c>
      <c r="C9" s="11" t="s">
        <v>133</v>
      </c>
      <c r="E9" s="12">
        <v>525891.1</v>
      </c>
      <c r="F9" s="12"/>
      <c r="G9" s="12">
        <v>112083.73</v>
      </c>
      <c r="H9" s="12"/>
      <c r="I9" s="12">
        <v>99300.93</v>
      </c>
      <c r="J9" s="12"/>
      <c r="K9" s="12">
        <v>144366.72</v>
      </c>
      <c r="L9" s="12"/>
      <c r="M9" s="12">
        <v>25157.27</v>
      </c>
      <c r="N9" s="12"/>
      <c r="O9" s="12">
        <v>4580.04</v>
      </c>
      <c r="P9" s="12"/>
      <c r="Q9" s="12">
        <v>8999.52</v>
      </c>
      <c r="R9" s="12"/>
      <c r="S9" s="12">
        <v>0</v>
      </c>
      <c r="T9" s="12"/>
      <c r="U9" s="12">
        <v>0</v>
      </c>
      <c r="V9" s="12"/>
      <c r="W9" s="12">
        <v>0</v>
      </c>
      <c r="X9" s="12"/>
      <c r="Y9" s="12">
        <v>0</v>
      </c>
      <c r="Z9" s="12"/>
      <c r="AA9" s="12">
        <v>0</v>
      </c>
      <c r="AB9" s="12"/>
      <c r="AC9" s="12">
        <f aca="true" t="shared" si="0" ref="AC9:AC75">SUM(E9:AA9)</f>
        <v>920379.31</v>
      </c>
    </row>
    <row r="10" spans="1:29" s="11" customFormat="1" ht="12">
      <c r="A10" s="11" t="s">
        <v>124</v>
      </c>
      <c r="C10" s="11" t="s">
        <v>134</v>
      </c>
      <c r="E10" s="12">
        <v>153300.84</v>
      </c>
      <c r="F10" s="12"/>
      <c r="G10" s="12">
        <v>23406.04</v>
      </c>
      <c r="H10" s="12"/>
      <c r="I10" s="12">
        <v>52746.04</v>
      </c>
      <c r="J10" s="12"/>
      <c r="K10" s="12">
        <v>63608.71</v>
      </c>
      <c r="L10" s="12"/>
      <c r="M10" s="12">
        <v>7669.67</v>
      </c>
      <c r="N10" s="12"/>
      <c r="O10" s="12">
        <v>3163.29</v>
      </c>
      <c r="P10" s="12"/>
      <c r="Q10" s="12">
        <v>9952.85</v>
      </c>
      <c r="R10" s="12"/>
      <c r="S10" s="12">
        <v>0</v>
      </c>
      <c r="T10" s="12"/>
      <c r="U10" s="12">
        <v>0</v>
      </c>
      <c r="V10" s="12"/>
      <c r="W10" s="12">
        <v>0</v>
      </c>
      <c r="X10" s="12"/>
      <c r="Y10" s="12">
        <v>0</v>
      </c>
      <c r="Z10" s="12"/>
      <c r="AA10" s="12">
        <v>0</v>
      </c>
      <c r="AB10" s="12"/>
      <c r="AC10" s="12">
        <f t="shared" si="0"/>
        <v>313847.43999999994</v>
      </c>
    </row>
    <row r="11" spans="1:29" s="11" customFormat="1" ht="12">
      <c r="A11" s="11" t="s">
        <v>168</v>
      </c>
      <c r="C11" s="11" t="s">
        <v>154</v>
      </c>
      <c r="E11" s="12">
        <v>28514.4</v>
      </c>
      <c r="F11" s="12"/>
      <c r="G11" s="12">
        <v>4383.36</v>
      </c>
      <c r="H11" s="12"/>
      <c r="I11" s="12">
        <v>17450.83</v>
      </c>
      <c r="J11" s="12"/>
      <c r="K11" s="12">
        <v>11428.66</v>
      </c>
      <c r="L11" s="12"/>
      <c r="M11" s="12">
        <v>2275.93</v>
      </c>
      <c r="N11" s="12"/>
      <c r="O11" s="12">
        <v>1133.38</v>
      </c>
      <c r="P11" s="12"/>
      <c r="Q11" s="12">
        <v>9134.83</v>
      </c>
      <c r="R11" s="12"/>
      <c r="S11" s="12">
        <v>0</v>
      </c>
      <c r="T11" s="12"/>
      <c r="U11" s="12">
        <v>0</v>
      </c>
      <c r="V11" s="12"/>
      <c r="W11" s="12">
        <v>0</v>
      </c>
      <c r="X11" s="12"/>
      <c r="Y11" s="12">
        <v>0</v>
      </c>
      <c r="Z11" s="12"/>
      <c r="AA11" s="12">
        <v>88.1</v>
      </c>
      <c r="AB11" s="12"/>
      <c r="AC11" s="12">
        <f t="shared" si="0"/>
        <v>74409.49</v>
      </c>
    </row>
    <row r="12" spans="1:29" s="11" customFormat="1" ht="12">
      <c r="A12" s="11" t="s">
        <v>169</v>
      </c>
      <c r="C12" s="11" t="s">
        <v>150</v>
      </c>
      <c r="E12" s="12">
        <v>485195.54</v>
      </c>
      <c r="F12" s="12"/>
      <c r="G12" s="12">
        <v>99310.1</v>
      </c>
      <c r="H12" s="12"/>
      <c r="I12" s="12">
        <v>155684.6</v>
      </c>
      <c r="J12" s="12"/>
      <c r="K12" s="12">
        <v>162664.37</v>
      </c>
      <c r="L12" s="12"/>
      <c r="M12" s="12">
        <v>33593.79</v>
      </c>
      <c r="N12" s="12"/>
      <c r="O12" s="12">
        <v>2886.62</v>
      </c>
      <c r="P12" s="12"/>
      <c r="Q12" s="12">
        <v>46679.53</v>
      </c>
      <c r="R12" s="12"/>
      <c r="S12" s="12">
        <v>0</v>
      </c>
      <c r="T12" s="12"/>
      <c r="U12" s="12">
        <v>0</v>
      </c>
      <c r="V12" s="12"/>
      <c r="W12" s="12">
        <v>200000</v>
      </c>
      <c r="X12" s="12"/>
      <c r="Y12" s="12">
        <v>0</v>
      </c>
      <c r="Z12" s="12"/>
      <c r="AA12" s="12">
        <v>0</v>
      </c>
      <c r="AB12" s="12"/>
      <c r="AC12" s="12">
        <f t="shared" si="0"/>
        <v>1186014.55</v>
      </c>
    </row>
    <row r="13" spans="1:29" s="11" customFormat="1" ht="12">
      <c r="A13" s="11" t="s">
        <v>170</v>
      </c>
      <c r="C13" s="11" t="s">
        <v>171</v>
      </c>
      <c r="E13" s="12">
        <v>862951</v>
      </c>
      <c r="F13" s="12"/>
      <c r="G13" s="12">
        <v>247267</v>
      </c>
      <c r="H13" s="12"/>
      <c r="I13" s="12">
        <v>282426</v>
      </c>
      <c r="J13" s="12"/>
      <c r="K13" s="12">
        <v>304645</v>
      </c>
      <c r="L13" s="12"/>
      <c r="M13" s="12">
        <v>76322</v>
      </c>
      <c r="N13" s="12"/>
      <c r="O13" s="12">
        <v>7429</v>
      </c>
      <c r="P13" s="12"/>
      <c r="Q13" s="12">
        <v>52616</v>
      </c>
      <c r="R13" s="12"/>
      <c r="S13" s="12">
        <v>0</v>
      </c>
      <c r="T13" s="12"/>
      <c r="U13" s="12">
        <v>0</v>
      </c>
      <c r="V13" s="12"/>
      <c r="W13" s="12">
        <v>0</v>
      </c>
      <c r="X13" s="12"/>
      <c r="Y13" s="12">
        <v>0</v>
      </c>
      <c r="Z13" s="12"/>
      <c r="AA13" s="12">
        <v>0</v>
      </c>
      <c r="AB13" s="12"/>
      <c r="AC13" s="12">
        <f t="shared" si="0"/>
        <v>1833656</v>
      </c>
    </row>
    <row r="14" spans="1:29" s="11" customFormat="1" ht="12">
      <c r="A14" s="11" t="s">
        <v>172</v>
      </c>
      <c r="C14" s="11" t="s">
        <v>136</v>
      </c>
      <c r="E14" s="12">
        <v>129986</v>
      </c>
      <c r="F14" s="12"/>
      <c r="G14" s="12">
        <v>39543</v>
      </c>
      <c r="H14" s="12"/>
      <c r="I14" s="12">
        <v>65302</v>
      </c>
      <c r="J14" s="12"/>
      <c r="K14" s="12">
        <v>39108</v>
      </c>
      <c r="L14" s="12"/>
      <c r="M14" s="12">
        <v>12535</v>
      </c>
      <c r="N14" s="12"/>
      <c r="O14" s="12">
        <v>1496</v>
      </c>
      <c r="P14" s="12"/>
      <c r="Q14" s="12">
        <v>0</v>
      </c>
      <c r="R14" s="12"/>
      <c r="S14" s="12">
        <v>0</v>
      </c>
      <c r="T14" s="12"/>
      <c r="U14" s="12">
        <v>0</v>
      </c>
      <c r="V14" s="12"/>
      <c r="W14" s="12">
        <v>0</v>
      </c>
      <c r="X14" s="12"/>
      <c r="Y14" s="12">
        <v>0</v>
      </c>
      <c r="Z14" s="12"/>
      <c r="AA14" s="12">
        <v>0</v>
      </c>
      <c r="AB14" s="12"/>
      <c r="AC14" s="12">
        <f t="shared" si="0"/>
        <v>287970</v>
      </c>
    </row>
    <row r="15" spans="1:29" s="11" customFormat="1" ht="12">
      <c r="A15" s="11" t="s">
        <v>173</v>
      </c>
      <c r="C15" s="11" t="s">
        <v>174</v>
      </c>
      <c r="E15" s="12">
        <v>172034.04</v>
      </c>
      <c r="F15" s="12"/>
      <c r="G15" s="12">
        <v>26157.51</v>
      </c>
      <c r="H15" s="12"/>
      <c r="I15" s="12">
        <v>61017.38</v>
      </c>
      <c r="J15" s="12"/>
      <c r="K15" s="12">
        <v>74303.51</v>
      </c>
      <c r="L15" s="12"/>
      <c r="M15" s="12">
        <v>13686.95</v>
      </c>
      <c r="N15" s="12"/>
      <c r="O15" s="12">
        <v>1109</v>
      </c>
      <c r="P15" s="12"/>
      <c r="Q15" s="12">
        <v>2827.06</v>
      </c>
      <c r="R15" s="12"/>
      <c r="S15" s="12">
        <v>0</v>
      </c>
      <c r="T15" s="12"/>
      <c r="U15" s="12">
        <v>0</v>
      </c>
      <c r="V15" s="12"/>
      <c r="W15" s="12">
        <v>0</v>
      </c>
      <c r="X15" s="12"/>
      <c r="Y15" s="12">
        <v>0</v>
      </c>
      <c r="Z15" s="12"/>
      <c r="AA15" s="12">
        <v>0</v>
      </c>
      <c r="AB15" s="12"/>
      <c r="AC15" s="12">
        <f t="shared" si="0"/>
        <v>351135.45</v>
      </c>
    </row>
    <row r="16" spans="1:29" s="11" customFormat="1" ht="12">
      <c r="A16" s="11" t="s">
        <v>175</v>
      </c>
      <c r="C16" s="11" t="s">
        <v>135</v>
      </c>
      <c r="E16" s="12">
        <v>208446.54</v>
      </c>
      <c r="F16" s="12"/>
      <c r="G16" s="12">
        <v>62192.78</v>
      </c>
      <c r="H16" s="12"/>
      <c r="I16" s="12">
        <v>66334</v>
      </c>
      <c r="J16" s="12"/>
      <c r="K16" s="12">
        <v>51616.77</v>
      </c>
      <c r="L16" s="12"/>
      <c r="M16" s="12">
        <v>11331.4</v>
      </c>
      <c r="N16" s="12"/>
      <c r="O16" s="12">
        <v>992.95</v>
      </c>
      <c r="P16" s="12"/>
      <c r="Q16" s="12">
        <v>1336.15</v>
      </c>
      <c r="R16" s="12"/>
      <c r="S16" s="12">
        <v>0</v>
      </c>
      <c r="T16" s="12"/>
      <c r="U16" s="12">
        <v>0</v>
      </c>
      <c r="V16" s="12"/>
      <c r="W16" s="12">
        <v>0</v>
      </c>
      <c r="X16" s="12"/>
      <c r="Y16" s="12">
        <v>0</v>
      </c>
      <c r="Z16" s="12"/>
      <c r="AA16" s="12">
        <v>0</v>
      </c>
      <c r="AB16" s="12"/>
      <c r="AC16" s="12">
        <f t="shared" si="0"/>
        <v>402250.5900000001</v>
      </c>
    </row>
    <row r="17" spans="1:29" s="11" customFormat="1" ht="12">
      <c r="A17" s="11" t="s">
        <v>176</v>
      </c>
      <c r="C17" s="11" t="s">
        <v>177</v>
      </c>
      <c r="E17" s="12">
        <v>0</v>
      </c>
      <c r="F17" s="12"/>
      <c r="G17" s="12">
        <v>0</v>
      </c>
      <c r="H17" s="12"/>
      <c r="I17" s="12">
        <f>251210+20712+120663+243518+111018</f>
        <v>747121</v>
      </c>
      <c r="J17" s="12"/>
      <c r="K17" s="12">
        <f>14232+2582+10329+146740+79939+49701+172584</f>
        <v>476107</v>
      </c>
      <c r="L17" s="12"/>
      <c r="M17" s="12">
        <v>0</v>
      </c>
      <c r="N17" s="12"/>
      <c r="O17" s="12">
        <v>158994</v>
      </c>
      <c r="P17" s="12"/>
      <c r="Q17" s="12">
        <v>2220</v>
      </c>
      <c r="R17" s="12"/>
      <c r="S17" s="12">
        <v>0</v>
      </c>
      <c r="T17" s="12"/>
      <c r="U17" s="12">
        <v>0</v>
      </c>
      <c r="V17" s="12"/>
      <c r="W17" s="12">
        <v>200000</v>
      </c>
      <c r="X17" s="12"/>
      <c r="Y17" s="12">
        <v>0</v>
      </c>
      <c r="Z17" s="12"/>
      <c r="AA17" s="12">
        <v>0</v>
      </c>
      <c r="AB17" s="12"/>
      <c r="AC17" s="12">
        <f t="shared" si="0"/>
        <v>1584442</v>
      </c>
    </row>
    <row r="18" spans="1:29" s="11" customFormat="1" ht="12">
      <c r="A18" s="11" t="s">
        <v>490</v>
      </c>
      <c r="C18" s="11" t="s">
        <v>136</v>
      </c>
      <c r="E18" s="12">
        <v>720308.36</v>
      </c>
      <c r="F18" s="12"/>
      <c r="G18" s="12">
        <v>242265.22</v>
      </c>
      <c r="H18" s="12"/>
      <c r="I18" s="12">
        <v>283588.52</v>
      </c>
      <c r="J18" s="12"/>
      <c r="K18" s="12">
        <v>257880.82</v>
      </c>
      <c r="L18" s="12"/>
      <c r="M18" s="12">
        <v>42292.76</v>
      </c>
      <c r="N18" s="12"/>
      <c r="O18" s="12">
        <v>11521.23</v>
      </c>
      <c r="P18" s="12"/>
      <c r="Q18" s="12">
        <v>163286.6</v>
      </c>
      <c r="R18" s="12"/>
      <c r="S18" s="12">
        <v>0</v>
      </c>
      <c r="T18" s="12"/>
      <c r="U18" s="12">
        <v>0</v>
      </c>
      <c r="V18" s="12"/>
      <c r="W18" s="12">
        <v>4071.57</v>
      </c>
      <c r="X18" s="12"/>
      <c r="Y18" s="12">
        <v>0</v>
      </c>
      <c r="Z18" s="12"/>
      <c r="AA18" s="12">
        <v>0</v>
      </c>
      <c r="AB18" s="12"/>
      <c r="AC18" s="12">
        <f t="shared" si="0"/>
        <v>1725215.0800000003</v>
      </c>
    </row>
    <row r="19" spans="1:29" s="11" customFormat="1" ht="12">
      <c r="A19" s="11" t="s">
        <v>179</v>
      </c>
      <c r="C19" s="11" t="s">
        <v>137</v>
      </c>
      <c r="E19" s="12">
        <v>541971.13</v>
      </c>
      <c r="F19" s="12"/>
      <c r="G19" s="12">
        <v>151071.55</v>
      </c>
      <c r="H19" s="12"/>
      <c r="I19" s="12">
        <v>162610.04</v>
      </c>
      <c r="J19" s="12"/>
      <c r="K19" s="12">
        <v>196959.26</v>
      </c>
      <c r="L19" s="12"/>
      <c r="M19" s="12">
        <v>32328.67</v>
      </c>
      <c r="N19" s="12"/>
      <c r="O19" s="12">
        <v>7532.54</v>
      </c>
      <c r="P19" s="12"/>
      <c r="Q19" s="12">
        <v>60574.71</v>
      </c>
      <c r="R19" s="12"/>
      <c r="S19" s="12">
        <v>0</v>
      </c>
      <c r="T19" s="12"/>
      <c r="U19" s="12">
        <v>0</v>
      </c>
      <c r="V19" s="12"/>
      <c r="W19" s="12">
        <v>20000</v>
      </c>
      <c r="X19" s="12"/>
      <c r="Y19" s="12">
        <v>0</v>
      </c>
      <c r="Z19" s="12"/>
      <c r="AA19" s="12">
        <v>0</v>
      </c>
      <c r="AB19" s="12"/>
      <c r="AC19" s="12">
        <f t="shared" si="0"/>
        <v>1173047.9</v>
      </c>
    </row>
    <row r="20" spans="1:29" s="11" customFormat="1" ht="12">
      <c r="A20" s="11" t="s">
        <v>180</v>
      </c>
      <c r="C20" s="11" t="s">
        <v>150</v>
      </c>
      <c r="E20" s="12">
        <v>1091104</v>
      </c>
      <c r="F20" s="12"/>
      <c r="G20" s="12">
        <v>227726</v>
      </c>
      <c r="H20" s="12"/>
      <c r="I20" s="12">
        <v>372211</v>
      </c>
      <c r="J20" s="12"/>
      <c r="K20" s="12">
        <v>344726</v>
      </c>
      <c r="L20" s="12"/>
      <c r="M20" s="12">
        <v>53937</v>
      </c>
      <c r="N20" s="12"/>
      <c r="O20" s="12">
        <v>9712</v>
      </c>
      <c r="P20" s="12"/>
      <c r="Q20" s="12">
        <v>95881</v>
      </c>
      <c r="R20" s="12"/>
      <c r="S20" s="12">
        <v>0</v>
      </c>
      <c r="T20" s="12"/>
      <c r="U20" s="12">
        <v>0</v>
      </c>
      <c r="V20" s="12"/>
      <c r="W20" s="12">
        <v>0</v>
      </c>
      <c r="X20" s="12"/>
      <c r="Y20" s="12">
        <v>0</v>
      </c>
      <c r="Z20" s="12"/>
      <c r="AA20" s="12">
        <v>0</v>
      </c>
      <c r="AB20" s="12"/>
      <c r="AC20" s="12">
        <f t="shared" si="0"/>
        <v>2195297</v>
      </c>
    </row>
    <row r="21" spans="1:63" s="38" customFormat="1" ht="12.75">
      <c r="A21" s="11" t="s">
        <v>523</v>
      </c>
      <c r="B21" s="11"/>
      <c r="C21" s="12" t="s">
        <v>602</v>
      </c>
      <c r="D21" s="12"/>
      <c r="E21" s="12">
        <v>719758.63</v>
      </c>
      <c r="F21" s="12"/>
      <c r="G21" s="12">
        <v>205416.55</v>
      </c>
      <c r="H21" s="12"/>
      <c r="I21" s="12">
        <v>180781.78</v>
      </c>
      <c r="J21" s="12"/>
      <c r="K21" s="12">
        <v>173621.58</v>
      </c>
      <c r="L21" s="12"/>
      <c r="M21" s="12">
        <v>20845.61</v>
      </c>
      <c r="N21" s="12"/>
      <c r="O21" s="12">
        <v>6483.95</v>
      </c>
      <c r="P21" s="12"/>
      <c r="Q21" s="12">
        <v>1433.67</v>
      </c>
      <c r="R21" s="12"/>
      <c r="S21" s="12">
        <v>0</v>
      </c>
      <c r="T21" s="12"/>
      <c r="U21" s="12">
        <v>0</v>
      </c>
      <c r="V21" s="12"/>
      <c r="W21" s="12">
        <v>20000</v>
      </c>
      <c r="X21" s="12"/>
      <c r="Y21" s="12">
        <v>0</v>
      </c>
      <c r="Z21" s="12"/>
      <c r="AA21" s="12">
        <v>0</v>
      </c>
      <c r="AB21" s="12"/>
      <c r="AC21" s="12">
        <f t="shared" si="0"/>
        <v>1328341.77</v>
      </c>
      <c r="AD21" s="35"/>
      <c r="AE21" s="36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</row>
    <row r="22" spans="1:29" s="11" customFormat="1" ht="12">
      <c r="A22" s="11" t="s">
        <v>112</v>
      </c>
      <c r="C22" s="11" t="s">
        <v>104</v>
      </c>
      <c r="E22" s="12">
        <v>0</v>
      </c>
      <c r="F22" s="12"/>
      <c r="G22" s="12">
        <v>0</v>
      </c>
      <c r="H22" s="12"/>
      <c r="I22" s="12">
        <f>22977+93534+51606+2290+327404</f>
        <v>497811</v>
      </c>
      <c r="J22" s="12"/>
      <c r="K22" s="12">
        <v>0</v>
      </c>
      <c r="L22" s="12"/>
      <c r="M22" s="12">
        <v>0</v>
      </c>
      <c r="N22" s="12"/>
      <c r="O22" s="12">
        <v>0</v>
      </c>
      <c r="P22" s="12"/>
      <c r="Q22" s="12">
        <v>4150</v>
      </c>
      <c r="R22" s="12"/>
      <c r="S22" s="12">
        <v>0</v>
      </c>
      <c r="T22" s="12"/>
      <c r="U22" s="12">
        <v>0</v>
      </c>
      <c r="V22" s="12"/>
      <c r="W22" s="12">
        <v>0</v>
      </c>
      <c r="X22" s="12"/>
      <c r="Y22" s="12">
        <v>0</v>
      </c>
      <c r="Z22" s="12"/>
      <c r="AA22" s="12">
        <v>0</v>
      </c>
      <c r="AB22" s="12"/>
      <c r="AC22" s="12">
        <f t="shared" si="0"/>
        <v>501961</v>
      </c>
    </row>
    <row r="23" spans="1:29" s="11" customFormat="1" ht="12">
      <c r="A23" s="11" t="s">
        <v>181</v>
      </c>
      <c r="C23" s="11" t="s">
        <v>104</v>
      </c>
      <c r="E23" s="12">
        <v>247428.17</v>
      </c>
      <c r="F23" s="12"/>
      <c r="G23" s="12">
        <v>96966.22</v>
      </c>
      <c r="H23" s="12"/>
      <c r="I23" s="12">
        <v>46355.09</v>
      </c>
      <c r="J23" s="12"/>
      <c r="K23" s="12">
        <v>119266.16</v>
      </c>
      <c r="L23" s="12"/>
      <c r="M23" s="12">
        <v>17944.31</v>
      </c>
      <c r="N23" s="12"/>
      <c r="O23" s="12">
        <v>5214.95</v>
      </c>
      <c r="P23" s="12"/>
      <c r="Q23" s="12">
        <v>2760.18</v>
      </c>
      <c r="R23" s="12"/>
      <c r="S23" s="12">
        <v>0</v>
      </c>
      <c r="T23" s="12"/>
      <c r="U23" s="12">
        <v>0</v>
      </c>
      <c r="V23" s="12"/>
      <c r="W23" s="12">
        <v>0</v>
      </c>
      <c r="X23" s="12"/>
      <c r="Y23" s="12">
        <v>0</v>
      </c>
      <c r="Z23" s="12"/>
      <c r="AA23" s="12">
        <v>0</v>
      </c>
      <c r="AB23" s="12"/>
      <c r="AC23" s="12">
        <f t="shared" si="0"/>
        <v>535935.0800000001</v>
      </c>
    </row>
    <row r="24" spans="1:29" s="11" customFormat="1" ht="12">
      <c r="A24" s="11" t="s">
        <v>182</v>
      </c>
      <c r="C24" s="11" t="s">
        <v>183</v>
      </c>
      <c r="E24" s="12">
        <v>83847</v>
      </c>
      <c r="F24" s="12"/>
      <c r="G24" s="12">
        <v>8857</v>
      </c>
      <c r="H24" s="12"/>
      <c r="I24" s="12">
        <v>16334</v>
      </c>
      <c r="J24" s="12"/>
      <c r="K24" s="12">
        <v>21651</v>
      </c>
      <c r="L24" s="12"/>
      <c r="M24" s="12">
        <v>6308</v>
      </c>
      <c r="N24" s="12"/>
      <c r="O24" s="12">
        <v>1609</v>
      </c>
      <c r="P24" s="12"/>
      <c r="Q24" s="12">
        <v>1553</v>
      </c>
      <c r="R24" s="12"/>
      <c r="S24" s="12">
        <v>0</v>
      </c>
      <c r="T24" s="12"/>
      <c r="U24" s="12">
        <v>0</v>
      </c>
      <c r="V24" s="12"/>
      <c r="W24" s="12">
        <v>0</v>
      </c>
      <c r="X24" s="12"/>
      <c r="Y24" s="12">
        <v>0</v>
      </c>
      <c r="Z24" s="12"/>
      <c r="AA24" s="12">
        <v>0</v>
      </c>
      <c r="AB24" s="12"/>
      <c r="AC24" s="12">
        <f t="shared" si="0"/>
        <v>140159</v>
      </c>
    </row>
    <row r="25" spans="1:29" s="11" customFormat="1" ht="12">
      <c r="A25" s="11" t="s">
        <v>184</v>
      </c>
      <c r="C25" s="11" t="s">
        <v>185</v>
      </c>
      <c r="E25" s="12">
        <v>0</v>
      </c>
      <c r="F25" s="12"/>
      <c r="G25" s="12">
        <v>0</v>
      </c>
      <c r="H25" s="12"/>
      <c r="I25" s="12">
        <v>875078</v>
      </c>
      <c r="J25" s="12"/>
      <c r="K25" s="12">
        <v>0</v>
      </c>
      <c r="L25" s="12"/>
      <c r="M25" s="12">
        <v>0</v>
      </c>
      <c r="N25" s="12"/>
      <c r="O25" s="12">
        <v>0</v>
      </c>
      <c r="P25" s="12"/>
      <c r="Q25" s="12">
        <v>23033</v>
      </c>
      <c r="R25" s="12"/>
      <c r="S25" s="12">
        <v>0</v>
      </c>
      <c r="T25" s="12"/>
      <c r="U25" s="12">
        <v>0</v>
      </c>
      <c r="V25" s="12"/>
      <c r="W25" s="12">
        <v>0</v>
      </c>
      <c r="X25" s="12"/>
      <c r="Y25" s="12">
        <v>0</v>
      </c>
      <c r="Z25" s="12"/>
      <c r="AA25" s="12">
        <v>0</v>
      </c>
      <c r="AB25" s="12"/>
      <c r="AC25" s="12">
        <f t="shared" si="0"/>
        <v>898111</v>
      </c>
    </row>
    <row r="26" spans="1:29" s="11" customFormat="1" ht="12">
      <c r="A26" s="11" t="s">
        <v>186</v>
      </c>
      <c r="C26" s="11" t="s">
        <v>138</v>
      </c>
      <c r="E26" s="12">
        <v>66970</v>
      </c>
      <c r="F26" s="12"/>
      <c r="G26" s="12">
        <v>9175</v>
      </c>
      <c r="H26" s="12"/>
      <c r="I26" s="12">
        <v>14196</v>
      </c>
      <c r="J26" s="12"/>
      <c r="K26" s="12">
        <v>29366</v>
      </c>
      <c r="L26" s="12"/>
      <c r="M26" s="12">
        <v>4203</v>
      </c>
      <c r="N26" s="12"/>
      <c r="O26" s="12">
        <v>933</v>
      </c>
      <c r="P26" s="12"/>
      <c r="Q26" s="12">
        <v>7096</v>
      </c>
      <c r="R26" s="12"/>
      <c r="S26" s="12">
        <v>0</v>
      </c>
      <c r="T26" s="12"/>
      <c r="U26" s="12">
        <v>0</v>
      </c>
      <c r="V26" s="12"/>
      <c r="W26" s="12">
        <v>0</v>
      </c>
      <c r="X26" s="12"/>
      <c r="Y26" s="12">
        <v>0</v>
      </c>
      <c r="Z26" s="12"/>
      <c r="AA26" s="12">
        <v>0</v>
      </c>
      <c r="AB26" s="12"/>
      <c r="AC26" s="12">
        <f t="shared" si="0"/>
        <v>131939</v>
      </c>
    </row>
    <row r="27" spans="1:29" s="11" customFormat="1" ht="12">
      <c r="A27" s="11" t="s">
        <v>449</v>
      </c>
      <c r="C27" s="11" t="s">
        <v>188</v>
      </c>
      <c r="E27" s="12">
        <v>1139863</v>
      </c>
      <c r="F27" s="12"/>
      <c r="G27" s="12">
        <v>337519</v>
      </c>
      <c r="H27" s="12"/>
      <c r="I27" s="12">
        <v>168051</v>
      </c>
      <c r="J27" s="12"/>
      <c r="K27" s="12">
        <v>272967</v>
      </c>
      <c r="L27" s="12"/>
      <c r="M27" s="12">
        <v>37648</v>
      </c>
      <c r="N27" s="12"/>
      <c r="O27" s="12">
        <v>6221</v>
      </c>
      <c r="P27" s="12"/>
      <c r="Q27" s="12">
        <v>0</v>
      </c>
      <c r="R27" s="12"/>
      <c r="S27" s="12">
        <v>0</v>
      </c>
      <c r="T27" s="12"/>
      <c r="U27" s="12">
        <v>0</v>
      </c>
      <c r="V27" s="12"/>
      <c r="W27" s="12">
        <v>0</v>
      </c>
      <c r="X27" s="12"/>
      <c r="Y27" s="12">
        <v>0</v>
      </c>
      <c r="Z27" s="12"/>
      <c r="AA27" s="12">
        <v>0</v>
      </c>
      <c r="AB27" s="12"/>
      <c r="AC27" s="12">
        <f t="shared" si="0"/>
        <v>1962269</v>
      </c>
    </row>
    <row r="28" spans="1:29" s="11" customFormat="1" ht="12">
      <c r="A28" s="11" t="s">
        <v>189</v>
      </c>
      <c r="C28" s="11" t="s">
        <v>190</v>
      </c>
      <c r="E28" s="12">
        <v>981045</v>
      </c>
      <c r="F28" s="12"/>
      <c r="G28" s="12">
        <v>270612</v>
      </c>
      <c r="H28" s="12"/>
      <c r="I28" s="12">
        <v>190885</v>
      </c>
      <c r="J28" s="12"/>
      <c r="K28" s="12">
        <v>268617</v>
      </c>
      <c r="L28" s="12"/>
      <c r="M28" s="12">
        <v>41219</v>
      </c>
      <c r="N28" s="12"/>
      <c r="O28" s="12">
        <v>5899</v>
      </c>
      <c r="P28" s="12"/>
      <c r="Q28" s="12">
        <v>20312</v>
      </c>
      <c r="R28" s="12"/>
      <c r="S28" s="12">
        <v>0</v>
      </c>
      <c r="T28" s="12"/>
      <c r="U28" s="12">
        <v>0</v>
      </c>
      <c r="V28" s="12"/>
      <c r="W28" s="12">
        <v>0</v>
      </c>
      <c r="X28" s="12"/>
      <c r="Y28" s="12">
        <v>0</v>
      </c>
      <c r="Z28" s="12"/>
      <c r="AA28" s="12">
        <v>0</v>
      </c>
      <c r="AB28" s="12"/>
      <c r="AC28" s="12">
        <f t="shared" si="0"/>
        <v>1778589</v>
      </c>
    </row>
    <row r="29" spans="1:29" s="11" customFormat="1" ht="12">
      <c r="A29" s="11" t="s">
        <v>191</v>
      </c>
      <c r="C29" s="11" t="s">
        <v>162</v>
      </c>
      <c r="E29" s="12">
        <v>268683</v>
      </c>
      <c r="F29" s="12"/>
      <c r="G29" s="12">
        <v>571</v>
      </c>
      <c r="H29" s="12"/>
      <c r="I29" s="12">
        <v>85472</v>
      </c>
      <c r="J29" s="12"/>
      <c r="K29" s="12">
        <v>77853</v>
      </c>
      <c r="L29" s="12"/>
      <c r="M29" s="12">
        <v>17287</v>
      </c>
      <c r="N29" s="12"/>
      <c r="O29" s="12">
        <v>3521</v>
      </c>
      <c r="P29" s="12"/>
      <c r="Q29" s="12">
        <v>73426</v>
      </c>
      <c r="R29" s="12"/>
      <c r="S29" s="12">
        <v>0</v>
      </c>
      <c r="T29" s="12"/>
      <c r="U29" s="12">
        <v>0</v>
      </c>
      <c r="V29" s="12"/>
      <c r="W29" s="12">
        <v>0</v>
      </c>
      <c r="X29" s="12"/>
      <c r="Y29" s="12">
        <v>0</v>
      </c>
      <c r="Z29" s="12"/>
      <c r="AA29" s="12">
        <v>0</v>
      </c>
      <c r="AB29" s="12"/>
      <c r="AC29" s="12">
        <f t="shared" si="0"/>
        <v>526813</v>
      </c>
    </row>
    <row r="30" spans="1:29" s="11" customFormat="1" ht="12">
      <c r="A30" s="11" t="s">
        <v>192</v>
      </c>
      <c r="C30" s="11" t="s">
        <v>138</v>
      </c>
      <c r="E30" s="12">
        <v>82703.48</v>
      </c>
      <c r="F30" s="12"/>
      <c r="G30" s="12">
        <v>11870.77</v>
      </c>
      <c r="H30" s="12"/>
      <c r="I30" s="12">
        <v>16476.76</v>
      </c>
      <c r="J30" s="12"/>
      <c r="K30" s="12">
        <v>32537.82</v>
      </c>
      <c r="L30" s="12"/>
      <c r="M30" s="12">
        <v>5606.32</v>
      </c>
      <c r="N30" s="12"/>
      <c r="O30" s="12">
        <v>5216</v>
      </c>
      <c r="P30" s="12"/>
      <c r="Q30" s="12">
        <v>0</v>
      </c>
      <c r="R30" s="12"/>
      <c r="S30" s="12">
        <v>0</v>
      </c>
      <c r="T30" s="12"/>
      <c r="U30" s="12">
        <v>0</v>
      </c>
      <c r="V30" s="12"/>
      <c r="W30" s="12">
        <v>4767.93</v>
      </c>
      <c r="X30" s="12"/>
      <c r="Y30" s="12">
        <v>0</v>
      </c>
      <c r="Z30" s="12"/>
      <c r="AA30" s="12">
        <v>0</v>
      </c>
      <c r="AB30" s="12"/>
      <c r="AC30" s="12">
        <f t="shared" si="0"/>
        <v>159179.08</v>
      </c>
    </row>
    <row r="31" spans="1:29" s="11" customFormat="1" ht="12">
      <c r="A31" s="11" t="s">
        <v>450</v>
      </c>
      <c r="C31" s="11" t="s">
        <v>194</v>
      </c>
      <c r="E31" s="12">
        <v>170597.55</v>
      </c>
      <c r="F31" s="12"/>
      <c r="G31" s="12">
        <v>40273.05</v>
      </c>
      <c r="H31" s="12"/>
      <c r="I31" s="12">
        <v>74872.9</v>
      </c>
      <c r="J31" s="12"/>
      <c r="K31" s="12">
        <v>57602.17</v>
      </c>
      <c r="L31" s="12"/>
      <c r="M31" s="12">
        <v>8474.14</v>
      </c>
      <c r="N31" s="12"/>
      <c r="O31" s="12">
        <v>3909.69</v>
      </c>
      <c r="P31" s="12"/>
      <c r="Q31" s="12">
        <v>0</v>
      </c>
      <c r="R31" s="12"/>
      <c r="S31" s="12">
        <v>0</v>
      </c>
      <c r="T31" s="12"/>
      <c r="U31" s="12">
        <v>0</v>
      </c>
      <c r="V31" s="12"/>
      <c r="W31" s="12">
        <v>0</v>
      </c>
      <c r="X31" s="12"/>
      <c r="Y31" s="12">
        <v>0</v>
      </c>
      <c r="Z31" s="12"/>
      <c r="AA31" s="12">
        <v>0</v>
      </c>
      <c r="AB31" s="12"/>
      <c r="AC31" s="12">
        <f t="shared" si="0"/>
        <v>355729.5</v>
      </c>
    </row>
    <row r="32" spans="1:29" s="11" customFormat="1" ht="12">
      <c r="A32" s="11" t="s">
        <v>195</v>
      </c>
      <c r="C32" s="11" t="s">
        <v>139</v>
      </c>
      <c r="E32" s="12">
        <v>101574.15</v>
      </c>
      <c r="F32" s="12"/>
      <c r="G32" s="12">
        <v>24972.15</v>
      </c>
      <c r="H32" s="12"/>
      <c r="I32" s="12">
        <v>37943.31</v>
      </c>
      <c r="J32" s="12"/>
      <c r="K32" s="12">
        <v>32309.78</v>
      </c>
      <c r="L32" s="12"/>
      <c r="M32" s="12">
        <v>5802.08</v>
      </c>
      <c r="N32" s="12"/>
      <c r="O32" s="12">
        <v>691</v>
      </c>
      <c r="P32" s="12"/>
      <c r="Q32" s="12">
        <v>6723.99</v>
      </c>
      <c r="R32" s="12"/>
      <c r="S32" s="12">
        <v>0</v>
      </c>
      <c r="T32" s="12"/>
      <c r="U32" s="12">
        <v>0</v>
      </c>
      <c r="V32" s="12"/>
      <c r="W32" s="12">
        <v>27000</v>
      </c>
      <c r="X32" s="12"/>
      <c r="Y32" s="12">
        <v>0</v>
      </c>
      <c r="Z32" s="12"/>
      <c r="AA32" s="12">
        <v>0</v>
      </c>
      <c r="AB32" s="12"/>
      <c r="AC32" s="12">
        <f t="shared" si="0"/>
        <v>237016.45999999996</v>
      </c>
    </row>
    <row r="33" spans="1:29" s="11" customFormat="1" ht="12">
      <c r="A33" s="11" t="s">
        <v>196</v>
      </c>
      <c r="C33" s="11" t="s">
        <v>146</v>
      </c>
      <c r="E33" s="12">
        <v>114898.35</v>
      </c>
      <c r="F33" s="12"/>
      <c r="G33" s="12">
        <v>21063.18</v>
      </c>
      <c r="H33" s="12"/>
      <c r="I33" s="12">
        <v>43425.9</v>
      </c>
      <c r="J33" s="12"/>
      <c r="K33" s="12">
        <v>28997.97</v>
      </c>
      <c r="L33" s="12"/>
      <c r="M33" s="12">
        <v>8211.49</v>
      </c>
      <c r="N33" s="12"/>
      <c r="O33" s="12">
        <v>1985.41</v>
      </c>
      <c r="P33" s="12"/>
      <c r="Q33" s="12">
        <v>1776.53</v>
      </c>
      <c r="R33" s="12"/>
      <c r="S33" s="12">
        <v>0</v>
      </c>
      <c r="T33" s="12"/>
      <c r="U33" s="12">
        <v>0</v>
      </c>
      <c r="V33" s="12"/>
      <c r="W33" s="12">
        <v>10000</v>
      </c>
      <c r="X33" s="12"/>
      <c r="Y33" s="12">
        <v>0</v>
      </c>
      <c r="Z33" s="12"/>
      <c r="AA33" s="12">
        <v>0</v>
      </c>
      <c r="AB33" s="12"/>
      <c r="AC33" s="12">
        <f t="shared" si="0"/>
        <v>230358.83</v>
      </c>
    </row>
    <row r="34" spans="1:29" s="11" customFormat="1" ht="12">
      <c r="A34" s="11" t="s">
        <v>451</v>
      </c>
      <c r="C34" s="11" t="s">
        <v>198</v>
      </c>
      <c r="E34" s="12">
        <v>1248941</v>
      </c>
      <c r="F34" s="12"/>
      <c r="G34" s="12">
        <v>491829</v>
      </c>
      <c r="H34" s="12"/>
      <c r="I34" s="12">
        <v>231137</v>
      </c>
      <c r="J34" s="12"/>
      <c r="K34" s="12">
        <v>300590</v>
      </c>
      <c r="L34" s="12"/>
      <c r="M34" s="12">
        <v>46183</v>
      </c>
      <c r="N34" s="12"/>
      <c r="O34" s="12">
        <v>9483</v>
      </c>
      <c r="P34" s="12"/>
      <c r="Q34" s="12">
        <v>127383</v>
      </c>
      <c r="R34" s="12"/>
      <c r="S34" s="12">
        <v>0</v>
      </c>
      <c r="T34" s="12"/>
      <c r="U34" s="12">
        <v>0</v>
      </c>
      <c r="V34" s="12"/>
      <c r="W34" s="12">
        <v>0</v>
      </c>
      <c r="X34" s="12"/>
      <c r="Y34" s="12">
        <v>0</v>
      </c>
      <c r="Z34" s="12"/>
      <c r="AA34" s="12">
        <v>0</v>
      </c>
      <c r="AB34" s="12"/>
      <c r="AC34" s="12">
        <f t="shared" si="0"/>
        <v>2455546</v>
      </c>
    </row>
    <row r="35" spans="1:29" s="11" customFormat="1" ht="12">
      <c r="A35" s="11" t="s">
        <v>199</v>
      </c>
      <c r="C35" s="11" t="s">
        <v>149</v>
      </c>
      <c r="E35" s="12">
        <v>207076</v>
      </c>
      <c r="F35" s="12"/>
      <c r="G35" s="12">
        <v>69235</v>
      </c>
      <c r="H35" s="12"/>
      <c r="I35" s="12">
        <v>95481</v>
      </c>
      <c r="J35" s="12"/>
      <c r="K35" s="12">
        <v>95953</v>
      </c>
      <c r="L35" s="12"/>
      <c r="M35" s="12">
        <v>8055</v>
      </c>
      <c r="N35" s="12"/>
      <c r="O35" s="12">
        <v>5410</v>
      </c>
      <c r="P35" s="12"/>
      <c r="Q35" s="12">
        <v>12277</v>
      </c>
      <c r="R35" s="12"/>
      <c r="S35" s="12">
        <v>0</v>
      </c>
      <c r="T35" s="12"/>
      <c r="U35" s="12">
        <v>0</v>
      </c>
      <c r="V35" s="12"/>
      <c r="W35" s="12">
        <v>0</v>
      </c>
      <c r="X35" s="12"/>
      <c r="Y35" s="12">
        <v>0</v>
      </c>
      <c r="Z35" s="12"/>
      <c r="AA35" s="12">
        <v>0</v>
      </c>
      <c r="AB35" s="12"/>
      <c r="AC35" s="12">
        <f t="shared" si="0"/>
        <v>493487</v>
      </c>
    </row>
    <row r="36" spans="1:29" s="11" customFormat="1" ht="12">
      <c r="A36" s="11" t="s">
        <v>125</v>
      </c>
      <c r="C36" s="11" t="s">
        <v>140</v>
      </c>
      <c r="E36" s="12">
        <v>484578.37</v>
      </c>
      <c r="F36" s="12"/>
      <c r="G36" s="12">
        <v>107537.64</v>
      </c>
      <c r="H36" s="12"/>
      <c r="I36" s="12">
        <v>188022.14</v>
      </c>
      <c r="J36" s="12"/>
      <c r="K36" s="12">
        <v>111264.8</v>
      </c>
      <c r="L36" s="12"/>
      <c r="M36" s="12">
        <v>15288.75</v>
      </c>
      <c r="N36" s="12"/>
      <c r="O36" s="12">
        <v>10111.46</v>
      </c>
      <c r="P36" s="12"/>
      <c r="Q36" s="12">
        <v>16123.9</v>
      </c>
      <c r="R36" s="12"/>
      <c r="S36" s="12">
        <v>0</v>
      </c>
      <c r="T36" s="12"/>
      <c r="U36" s="12">
        <v>0</v>
      </c>
      <c r="V36" s="12"/>
      <c r="W36" s="12">
        <v>0</v>
      </c>
      <c r="X36" s="12"/>
      <c r="Y36" s="12">
        <v>0</v>
      </c>
      <c r="Z36" s="12"/>
      <c r="AA36" s="12">
        <v>0</v>
      </c>
      <c r="AB36" s="12"/>
      <c r="AC36" s="12">
        <f t="shared" si="0"/>
        <v>932927.06</v>
      </c>
    </row>
    <row r="37" spans="1:29" s="11" customFormat="1" ht="12">
      <c r="A37" s="11" t="s">
        <v>200</v>
      </c>
      <c r="C37" s="11" t="s">
        <v>201</v>
      </c>
      <c r="E37" s="12">
        <v>78187</v>
      </c>
      <c r="F37" s="12"/>
      <c r="G37" s="12">
        <v>10247</v>
      </c>
      <c r="H37" s="12"/>
      <c r="I37" s="12">
        <v>28060</v>
      </c>
      <c r="J37" s="12"/>
      <c r="K37" s="12">
        <v>12700</v>
      </c>
      <c r="L37" s="12"/>
      <c r="M37" s="12">
        <v>5281</v>
      </c>
      <c r="N37" s="12"/>
      <c r="O37" s="12">
        <v>5514</v>
      </c>
      <c r="P37" s="12"/>
      <c r="Q37" s="12">
        <v>2582</v>
      </c>
      <c r="R37" s="12"/>
      <c r="S37" s="12">
        <v>0</v>
      </c>
      <c r="T37" s="12"/>
      <c r="U37" s="12">
        <v>0</v>
      </c>
      <c r="V37" s="12"/>
      <c r="W37" s="12">
        <v>0</v>
      </c>
      <c r="X37" s="12"/>
      <c r="Y37" s="12">
        <v>0</v>
      </c>
      <c r="Z37" s="12"/>
      <c r="AA37" s="12">
        <v>0</v>
      </c>
      <c r="AB37" s="12"/>
      <c r="AC37" s="12">
        <f t="shared" si="0"/>
        <v>142571</v>
      </c>
    </row>
    <row r="38" spans="1:29" s="11" customFormat="1" ht="12">
      <c r="A38" s="11" t="s">
        <v>202</v>
      </c>
      <c r="C38" s="11" t="s">
        <v>145</v>
      </c>
      <c r="E38" s="12">
        <f>286868+49536+37024+855</f>
        <v>374283</v>
      </c>
      <c r="F38" s="12"/>
      <c r="G38" s="12">
        <v>0</v>
      </c>
      <c r="H38" s="12"/>
      <c r="I38" s="12">
        <f>12482+18714+48571+8511+1438+18546+8342</f>
        <v>116604</v>
      </c>
      <c r="J38" s="12"/>
      <c r="K38" s="12">
        <f>40507+6473+10980+18274</f>
        <v>76234</v>
      </c>
      <c r="L38" s="12"/>
      <c r="M38" s="12">
        <f>13367+2162+14293</f>
        <v>29822</v>
      </c>
      <c r="N38" s="12"/>
      <c r="O38" s="12">
        <f>2912+5869</f>
        <v>8781</v>
      </c>
      <c r="P38" s="12"/>
      <c r="Q38" s="12">
        <v>14414</v>
      </c>
      <c r="R38" s="12"/>
      <c r="S38" s="12">
        <v>0</v>
      </c>
      <c r="T38" s="12"/>
      <c r="U38" s="12">
        <v>0</v>
      </c>
      <c r="V38" s="12"/>
      <c r="W38" s="12">
        <v>0</v>
      </c>
      <c r="X38" s="12"/>
      <c r="Y38" s="12">
        <v>0</v>
      </c>
      <c r="Z38" s="12"/>
      <c r="AA38" s="12">
        <v>0</v>
      </c>
      <c r="AB38" s="12"/>
      <c r="AC38" s="12">
        <f t="shared" si="0"/>
        <v>620138</v>
      </c>
    </row>
    <row r="39" spans="1:29" s="11" customFormat="1" ht="12">
      <c r="A39" s="11" t="s">
        <v>203</v>
      </c>
      <c r="C39" s="11" t="s">
        <v>108</v>
      </c>
      <c r="E39" s="12">
        <v>384485.41</v>
      </c>
      <c r="F39" s="12"/>
      <c r="G39" s="12">
        <v>78657.13</v>
      </c>
      <c r="H39" s="12"/>
      <c r="I39" s="12">
        <v>142625.75</v>
      </c>
      <c r="J39" s="12"/>
      <c r="K39" s="12">
        <v>112080.59</v>
      </c>
      <c r="L39" s="12"/>
      <c r="M39" s="12">
        <v>26458.65</v>
      </c>
      <c r="N39" s="12"/>
      <c r="O39" s="12">
        <v>7222.34</v>
      </c>
      <c r="P39" s="12"/>
      <c r="Q39" s="12">
        <v>49511.11</v>
      </c>
      <c r="R39" s="12"/>
      <c r="S39" s="12">
        <v>0</v>
      </c>
      <c r="T39" s="12"/>
      <c r="U39" s="12">
        <v>0</v>
      </c>
      <c r="V39" s="12"/>
      <c r="W39" s="12">
        <v>0</v>
      </c>
      <c r="X39" s="12"/>
      <c r="Y39" s="12">
        <v>0</v>
      </c>
      <c r="Z39" s="12"/>
      <c r="AA39" s="12">
        <v>0</v>
      </c>
      <c r="AB39" s="12"/>
      <c r="AC39" s="12">
        <f t="shared" si="0"/>
        <v>801040.98</v>
      </c>
    </row>
    <row r="40" spans="1:29" s="11" customFormat="1" ht="12">
      <c r="A40" s="11" t="s">
        <v>204</v>
      </c>
      <c r="C40" s="11" t="s">
        <v>205</v>
      </c>
      <c r="E40" s="12">
        <v>223054.59</v>
      </c>
      <c r="F40" s="12"/>
      <c r="G40" s="12">
        <v>61691.79</v>
      </c>
      <c r="H40" s="12"/>
      <c r="I40" s="12">
        <v>83542.65</v>
      </c>
      <c r="J40" s="12"/>
      <c r="K40" s="12">
        <v>72025.43</v>
      </c>
      <c r="L40" s="12"/>
      <c r="M40" s="12">
        <v>6070.1</v>
      </c>
      <c r="N40" s="12"/>
      <c r="O40" s="12">
        <v>2391.23</v>
      </c>
      <c r="P40" s="12"/>
      <c r="Q40" s="12">
        <v>1265.98</v>
      </c>
      <c r="R40" s="12"/>
      <c r="S40" s="12">
        <v>0</v>
      </c>
      <c r="T40" s="12"/>
      <c r="U40" s="12">
        <v>0</v>
      </c>
      <c r="V40" s="12"/>
      <c r="W40" s="12">
        <v>0</v>
      </c>
      <c r="X40" s="12"/>
      <c r="Y40" s="12">
        <v>0</v>
      </c>
      <c r="Z40" s="12"/>
      <c r="AA40" s="12">
        <v>0</v>
      </c>
      <c r="AB40" s="12"/>
      <c r="AC40" s="12">
        <f t="shared" si="0"/>
        <v>450041.76999999996</v>
      </c>
    </row>
    <row r="41" spans="1:29" s="11" customFormat="1" ht="12">
      <c r="A41" s="11" t="s">
        <v>206</v>
      </c>
      <c r="C41" s="11" t="s">
        <v>116</v>
      </c>
      <c r="E41" s="12">
        <v>338924.05</v>
      </c>
      <c r="F41" s="12"/>
      <c r="G41" s="12">
        <v>83246.43</v>
      </c>
      <c r="H41" s="12"/>
      <c r="I41" s="12">
        <v>102323.04</v>
      </c>
      <c r="J41" s="12"/>
      <c r="K41" s="12">
        <v>151167.18</v>
      </c>
      <c r="L41" s="12"/>
      <c r="M41" s="12">
        <v>14907.61</v>
      </c>
      <c r="N41" s="12"/>
      <c r="O41" s="12">
        <v>3583.85</v>
      </c>
      <c r="P41" s="12"/>
      <c r="Q41" s="12">
        <v>21850.27</v>
      </c>
      <c r="R41" s="12"/>
      <c r="S41" s="12">
        <v>0</v>
      </c>
      <c r="T41" s="12"/>
      <c r="U41" s="12">
        <v>0</v>
      </c>
      <c r="V41" s="12"/>
      <c r="W41" s="12">
        <v>0</v>
      </c>
      <c r="X41" s="12"/>
      <c r="Y41" s="12">
        <v>0</v>
      </c>
      <c r="Z41" s="12"/>
      <c r="AA41" s="12">
        <v>0</v>
      </c>
      <c r="AB41" s="12"/>
      <c r="AC41" s="12">
        <f t="shared" si="0"/>
        <v>716002.4299999999</v>
      </c>
    </row>
    <row r="42" spans="1:29" s="11" customFormat="1" ht="12">
      <c r="A42" s="11" t="s">
        <v>207</v>
      </c>
      <c r="C42" s="11" t="s">
        <v>161</v>
      </c>
      <c r="E42" s="12">
        <v>142378</v>
      </c>
      <c r="F42" s="12"/>
      <c r="G42" s="12">
        <v>22800</v>
      </c>
      <c r="H42" s="12"/>
      <c r="I42" s="12">
        <v>44860</v>
      </c>
      <c r="J42" s="12"/>
      <c r="K42" s="12">
        <v>34495</v>
      </c>
      <c r="L42" s="12"/>
      <c r="M42" s="12">
        <v>9640</v>
      </c>
      <c r="N42" s="12"/>
      <c r="O42" s="12">
        <v>2403</v>
      </c>
      <c r="P42" s="12"/>
      <c r="Q42" s="12">
        <v>34331</v>
      </c>
      <c r="R42" s="12"/>
      <c r="S42" s="12">
        <v>0</v>
      </c>
      <c r="T42" s="12"/>
      <c r="U42" s="12">
        <v>0</v>
      </c>
      <c r="V42" s="12"/>
      <c r="W42" s="12">
        <v>0</v>
      </c>
      <c r="X42" s="12"/>
      <c r="Y42" s="12">
        <v>0</v>
      </c>
      <c r="Z42" s="12"/>
      <c r="AA42" s="12">
        <v>0</v>
      </c>
      <c r="AB42" s="12"/>
      <c r="AC42" s="12">
        <f t="shared" si="0"/>
        <v>290907</v>
      </c>
    </row>
    <row r="43" spans="1:29" s="11" customFormat="1" ht="12">
      <c r="A43" s="11" t="s">
        <v>208</v>
      </c>
      <c r="C43" s="11" t="s">
        <v>144</v>
      </c>
      <c r="E43" s="12">
        <v>392112</v>
      </c>
      <c r="F43" s="12"/>
      <c r="G43" s="12">
        <v>170453</v>
      </c>
      <c r="H43" s="12"/>
      <c r="I43" s="12">
        <v>79472</v>
      </c>
      <c r="J43" s="12"/>
      <c r="K43" s="12">
        <v>175502</v>
      </c>
      <c r="L43" s="12"/>
      <c r="M43" s="12">
        <v>17553</v>
      </c>
      <c r="N43" s="12"/>
      <c r="O43" s="12">
        <v>20762</v>
      </c>
      <c r="P43" s="12"/>
      <c r="Q43" s="12">
        <v>0</v>
      </c>
      <c r="R43" s="12"/>
      <c r="S43" s="12">
        <v>0</v>
      </c>
      <c r="T43" s="12"/>
      <c r="U43" s="12">
        <v>0</v>
      </c>
      <c r="V43" s="12"/>
      <c r="W43" s="12">
        <v>0</v>
      </c>
      <c r="X43" s="12"/>
      <c r="Y43" s="12">
        <v>0</v>
      </c>
      <c r="Z43" s="12"/>
      <c r="AA43" s="12">
        <v>0</v>
      </c>
      <c r="AB43" s="12"/>
      <c r="AC43" s="12">
        <f t="shared" si="0"/>
        <v>855854</v>
      </c>
    </row>
    <row r="44" spans="1:29" s="11" customFormat="1" ht="12">
      <c r="A44" s="11" t="s">
        <v>208</v>
      </c>
      <c r="C44" s="11" t="s">
        <v>209</v>
      </c>
      <c r="E44" s="12">
        <v>0</v>
      </c>
      <c r="F44" s="12"/>
      <c r="G44" s="12">
        <v>0</v>
      </c>
      <c r="H44" s="12"/>
      <c r="I44" s="12">
        <f>102684+17114+298813+65741</f>
        <v>484352</v>
      </c>
      <c r="J44" s="12"/>
      <c r="K44" s="12">
        <f>441262+118549</f>
        <v>559811</v>
      </c>
      <c r="L44" s="12"/>
      <c r="M44" s="12">
        <v>0</v>
      </c>
      <c r="N44" s="12"/>
      <c r="O44" s="12">
        <v>0</v>
      </c>
      <c r="P44" s="12"/>
      <c r="Q44" s="12">
        <v>0</v>
      </c>
      <c r="R44" s="12"/>
      <c r="S44" s="12">
        <v>0</v>
      </c>
      <c r="T44" s="12"/>
      <c r="U44" s="12">
        <v>0</v>
      </c>
      <c r="V44" s="12"/>
      <c r="W44" s="12">
        <v>109950</v>
      </c>
      <c r="X44" s="12"/>
      <c r="Y44" s="12">
        <v>0</v>
      </c>
      <c r="Z44" s="12"/>
      <c r="AA44" s="12">
        <v>0</v>
      </c>
      <c r="AB44" s="12"/>
      <c r="AC44" s="12">
        <f t="shared" si="0"/>
        <v>1154113</v>
      </c>
    </row>
    <row r="45" spans="1:29" s="11" customFormat="1" ht="12">
      <c r="A45" s="11" t="s">
        <v>210</v>
      </c>
      <c r="C45" s="11" t="s">
        <v>141</v>
      </c>
      <c r="E45" s="12">
        <v>357465.08</v>
      </c>
      <c r="F45" s="12"/>
      <c r="G45" s="12">
        <v>118478.84</v>
      </c>
      <c r="H45" s="12"/>
      <c r="I45" s="12">
        <v>83687.53</v>
      </c>
      <c r="J45" s="12"/>
      <c r="K45" s="12">
        <v>111316.75</v>
      </c>
      <c r="L45" s="12"/>
      <c r="M45" s="12">
        <v>25210.25</v>
      </c>
      <c r="N45" s="12"/>
      <c r="O45" s="12">
        <v>39934</v>
      </c>
      <c r="P45" s="12"/>
      <c r="Q45" s="12">
        <v>5500</v>
      </c>
      <c r="R45" s="12"/>
      <c r="S45" s="12">
        <v>0</v>
      </c>
      <c r="T45" s="12"/>
      <c r="U45" s="12">
        <v>0</v>
      </c>
      <c r="V45" s="12"/>
      <c r="W45" s="12">
        <v>0</v>
      </c>
      <c r="X45" s="12"/>
      <c r="Y45" s="12">
        <v>0</v>
      </c>
      <c r="Z45" s="12"/>
      <c r="AA45" s="12">
        <v>0</v>
      </c>
      <c r="AB45" s="12"/>
      <c r="AC45" s="12">
        <f t="shared" si="0"/>
        <v>741592.4500000001</v>
      </c>
    </row>
    <row r="46" spans="1:29" s="11" customFormat="1" ht="12">
      <c r="A46" s="11" t="s">
        <v>211</v>
      </c>
      <c r="C46" s="11" t="s">
        <v>107</v>
      </c>
      <c r="E46" s="12">
        <v>123394</v>
      </c>
      <c r="F46" s="12"/>
      <c r="G46" s="12">
        <v>19158</v>
      </c>
      <c r="H46" s="12"/>
      <c r="I46" s="12">
        <v>19076</v>
      </c>
      <c r="J46" s="12"/>
      <c r="K46" s="12">
        <v>35994</v>
      </c>
      <c r="L46" s="12"/>
      <c r="M46" s="12">
        <v>5866</v>
      </c>
      <c r="N46" s="12"/>
      <c r="O46" s="12">
        <v>2356</v>
      </c>
      <c r="P46" s="12"/>
      <c r="Q46" s="12">
        <v>1341</v>
      </c>
      <c r="R46" s="12"/>
      <c r="S46" s="12">
        <v>0</v>
      </c>
      <c r="T46" s="12"/>
      <c r="U46" s="12">
        <v>0</v>
      </c>
      <c r="V46" s="12"/>
      <c r="W46" s="12">
        <v>0</v>
      </c>
      <c r="X46" s="12"/>
      <c r="Y46" s="12">
        <v>0</v>
      </c>
      <c r="Z46" s="12"/>
      <c r="AA46" s="12">
        <v>0</v>
      </c>
      <c r="AB46" s="12"/>
      <c r="AC46" s="12">
        <f t="shared" si="0"/>
        <v>207185</v>
      </c>
    </row>
    <row r="47" spans="1:29" s="11" customFormat="1" ht="12">
      <c r="A47" s="11" t="s">
        <v>452</v>
      </c>
      <c r="C47" s="11" t="s">
        <v>155</v>
      </c>
      <c r="E47" s="12">
        <v>470011</v>
      </c>
      <c r="F47" s="12"/>
      <c r="G47" s="12">
        <v>114456</v>
      </c>
      <c r="H47" s="12"/>
      <c r="I47" s="12">
        <v>164838</v>
      </c>
      <c r="J47" s="12"/>
      <c r="K47" s="12">
        <v>142708</v>
      </c>
      <c r="L47" s="12"/>
      <c r="M47" s="12">
        <v>27048</v>
      </c>
      <c r="N47" s="12"/>
      <c r="O47" s="12">
        <v>4659</v>
      </c>
      <c r="P47" s="12"/>
      <c r="Q47" s="12">
        <v>2042</v>
      </c>
      <c r="R47" s="12"/>
      <c r="S47" s="12">
        <v>0</v>
      </c>
      <c r="T47" s="12"/>
      <c r="U47" s="12">
        <v>0</v>
      </c>
      <c r="V47" s="12"/>
      <c r="W47" s="12">
        <v>0</v>
      </c>
      <c r="X47" s="12"/>
      <c r="Y47" s="12">
        <v>0</v>
      </c>
      <c r="Z47" s="12"/>
      <c r="AA47" s="12">
        <v>0</v>
      </c>
      <c r="AB47" s="12"/>
      <c r="AC47" s="12">
        <f t="shared" si="0"/>
        <v>925762</v>
      </c>
    </row>
    <row r="48" spans="1:29" s="11" customFormat="1" ht="12">
      <c r="A48" s="11" t="s">
        <v>213</v>
      </c>
      <c r="C48" s="11" t="s">
        <v>142</v>
      </c>
      <c r="E48" s="12">
        <v>1390528.48</v>
      </c>
      <c r="F48" s="12"/>
      <c r="G48" s="12">
        <v>448590.94</v>
      </c>
      <c r="H48" s="12"/>
      <c r="I48" s="12">
        <v>397497.39</v>
      </c>
      <c r="J48" s="12"/>
      <c r="K48" s="12">
        <v>359737.84</v>
      </c>
      <c r="L48" s="12"/>
      <c r="M48" s="12">
        <v>75678.72</v>
      </c>
      <c r="N48" s="12"/>
      <c r="O48" s="12">
        <v>10763.79</v>
      </c>
      <c r="P48" s="12"/>
      <c r="Q48" s="12">
        <v>108111.01</v>
      </c>
      <c r="R48" s="12"/>
      <c r="S48" s="12">
        <v>0</v>
      </c>
      <c r="T48" s="12"/>
      <c r="U48" s="12">
        <v>0</v>
      </c>
      <c r="V48" s="12"/>
      <c r="W48" s="12">
        <v>0</v>
      </c>
      <c r="X48" s="12"/>
      <c r="Y48" s="12">
        <v>0</v>
      </c>
      <c r="Z48" s="12"/>
      <c r="AA48" s="12">
        <v>0</v>
      </c>
      <c r="AB48" s="12"/>
      <c r="AC48" s="12">
        <f t="shared" si="0"/>
        <v>2790908.17</v>
      </c>
    </row>
    <row r="49" spans="1:29" s="11" customFormat="1" ht="12">
      <c r="A49" s="11" t="s">
        <v>214</v>
      </c>
      <c r="C49" s="11" t="s">
        <v>215</v>
      </c>
      <c r="E49" s="12">
        <v>2428068</v>
      </c>
      <c r="F49" s="12"/>
      <c r="G49" s="12">
        <v>951270</v>
      </c>
      <c r="H49" s="12"/>
      <c r="I49" s="12">
        <v>1117865</v>
      </c>
      <c r="J49" s="12"/>
      <c r="K49" s="12">
        <v>1463374</v>
      </c>
      <c r="L49" s="12"/>
      <c r="M49" s="12">
        <v>198869</v>
      </c>
      <c r="N49" s="12"/>
      <c r="O49" s="12">
        <v>11044</v>
      </c>
      <c r="P49" s="12"/>
      <c r="Q49" s="12">
        <v>121411</v>
      </c>
      <c r="R49" s="12"/>
      <c r="S49" s="12">
        <v>0</v>
      </c>
      <c r="T49" s="12"/>
      <c r="U49" s="12">
        <v>0</v>
      </c>
      <c r="V49" s="12"/>
      <c r="W49" s="12">
        <v>35000</v>
      </c>
      <c r="X49" s="12"/>
      <c r="Y49" s="12">
        <v>0</v>
      </c>
      <c r="Z49" s="12"/>
      <c r="AA49" s="12">
        <v>0</v>
      </c>
      <c r="AB49" s="12"/>
      <c r="AC49" s="12">
        <f t="shared" si="0"/>
        <v>6326901</v>
      </c>
    </row>
    <row r="50" spans="1:29" s="11" customFormat="1" ht="12">
      <c r="A50" s="11" t="s">
        <v>491</v>
      </c>
      <c r="C50" s="11" t="s">
        <v>117</v>
      </c>
      <c r="E50" s="12">
        <v>215332.57</v>
      </c>
      <c r="F50" s="12"/>
      <c r="G50" s="12">
        <v>51036.55</v>
      </c>
      <c r="H50" s="12"/>
      <c r="I50" s="12">
        <v>45554.66</v>
      </c>
      <c r="J50" s="12"/>
      <c r="K50" s="12">
        <v>104109.1</v>
      </c>
      <c r="L50" s="12"/>
      <c r="M50" s="12">
        <v>16315.67</v>
      </c>
      <c r="N50" s="12"/>
      <c r="O50" s="12">
        <v>1067.88</v>
      </c>
      <c r="P50" s="12"/>
      <c r="Q50" s="12">
        <v>25058.06</v>
      </c>
      <c r="R50" s="12"/>
      <c r="S50" s="12">
        <v>0</v>
      </c>
      <c r="T50" s="12"/>
      <c r="U50" s="12">
        <v>0</v>
      </c>
      <c r="V50" s="12"/>
      <c r="W50" s="12">
        <v>0</v>
      </c>
      <c r="X50" s="12"/>
      <c r="Y50" s="12">
        <v>0</v>
      </c>
      <c r="Z50" s="12"/>
      <c r="AA50" s="12">
        <v>0</v>
      </c>
      <c r="AB50" s="12"/>
      <c r="AC50" s="12">
        <f t="shared" si="0"/>
        <v>458474.49</v>
      </c>
    </row>
    <row r="51" spans="1:29" s="11" customFormat="1" ht="12">
      <c r="A51" s="11" t="s">
        <v>217</v>
      </c>
      <c r="C51" s="11" t="s">
        <v>218</v>
      </c>
      <c r="E51" s="12">
        <v>0</v>
      </c>
      <c r="F51" s="12"/>
      <c r="G51" s="12">
        <v>0</v>
      </c>
      <c r="H51" s="12"/>
      <c r="I51" s="12">
        <f>3247192+1576443+1309620+539648</f>
        <v>6672903</v>
      </c>
      <c r="J51" s="12"/>
      <c r="K51" s="12">
        <v>862706</v>
      </c>
      <c r="L51" s="12"/>
      <c r="M51" s="12">
        <v>0</v>
      </c>
      <c r="N51" s="12"/>
      <c r="O51" s="12">
        <v>0</v>
      </c>
      <c r="P51" s="12"/>
      <c r="Q51" s="12">
        <v>0</v>
      </c>
      <c r="R51" s="12"/>
      <c r="S51" s="12">
        <v>0</v>
      </c>
      <c r="T51" s="12"/>
      <c r="U51" s="12">
        <v>160</v>
      </c>
      <c r="V51" s="12"/>
      <c r="W51" s="12">
        <v>401766</v>
      </c>
      <c r="X51" s="12"/>
      <c r="Y51" s="12">
        <v>6155</v>
      </c>
      <c r="Z51" s="12"/>
      <c r="AA51" s="12">
        <v>125000</v>
      </c>
      <c r="AB51" s="12"/>
      <c r="AC51" s="12">
        <f t="shared" si="0"/>
        <v>8068690</v>
      </c>
    </row>
    <row r="52" spans="1:29" s="11" customFormat="1" ht="12">
      <c r="A52" s="11" t="s">
        <v>596</v>
      </c>
      <c r="C52" s="11" t="s">
        <v>190</v>
      </c>
      <c r="E52" s="12">
        <v>1393369</v>
      </c>
      <c r="F52" s="12"/>
      <c r="G52" s="12">
        <v>175430</v>
      </c>
      <c r="H52" s="12"/>
      <c r="I52" s="12">
        <v>5815520</v>
      </c>
      <c r="J52" s="12"/>
      <c r="K52" s="12">
        <v>0</v>
      </c>
      <c r="L52" s="12"/>
      <c r="M52" s="12">
        <v>0</v>
      </c>
      <c r="N52" s="12"/>
      <c r="O52" s="12">
        <v>0</v>
      </c>
      <c r="P52" s="12"/>
      <c r="Q52" s="12">
        <v>0</v>
      </c>
      <c r="R52" s="12"/>
      <c r="S52" s="12">
        <v>82330</v>
      </c>
      <c r="T52" s="12"/>
      <c r="U52" s="12">
        <v>6500</v>
      </c>
      <c r="V52" s="12"/>
      <c r="W52" s="12">
        <v>712489</v>
      </c>
      <c r="X52" s="12"/>
      <c r="Y52" s="12">
        <v>0</v>
      </c>
      <c r="Z52" s="12"/>
      <c r="AA52" s="12">
        <v>0</v>
      </c>
      <c r="AB52" s="12"/>
      <c r="AC52" s="12">
        <f>SUM(E52:AA52)</f>
        <v>8185638</v>
      </c>
    </row>
    <row r="53" spans="1:29" s="11" customFormat="1" ht="12">
      <c r="A53" s="11" t="s">
        <v>597</v>
      </c>
      <c r="C53" s="11" t="s">
        <v>110</v>
      </c>
      <c r="E53" s="12">
        <v>0</v>
      </c>
      <c r="F53" s="12"/>
      <c r="G53" s="12">
        <v>24000248</v>
      </c>
      <c r="H53" s="12"/>
      <c r="I53" s="12">
        <v>38178625</v>
      </c>
      <c r="J53" s="12"/>
      <c r="K53" s="12">
        <v>0</v>
      </c>
      <c r="L53" s="12"/>
      <c r="M53" s="12">
        <v>0</v>
      </c>
      <c r="N53" s="12"/>
      <c r="O53" s="12">
        <v>0</v>
      </c>
      <c r="P53" s="12"/>
      <c r="Q53" s="12">
        <v>433422</v>
      </c>
      <c r="R53" s="12"/>
      <c r="S53" s="12">
        <v>0</v>
      </c>
      <c r="T53" s="12"/>
      <c r="U53" s="12">
        <v>0</v>
      </c>
      <c r="V53" s="12"/>
      <c r="W53" s="12">
        <v>3000000</v>
      </c>
      <c r="X53" s="12"/>
      <c r="Y53" s="12">
        <v>0</v>
      </c>
      <c r="Z53" s="12"/>
      <c r="AA53" s="12">
        <v>0</v>
      </c>
      <c r="AB53" s="12"/>
      <c r="AC53" s="12">
        <f>SUM(E53:AA53)</f>
        <v>65612295</v>
      </c>
    </row>
    <row r="54" spans="1:29" s="11" customFormat="1" ht="12">
      <c r="A54" s="11" t="s">
        <v>219</v>
      </c>
      <c r="C54" s="11" t="s">
        <v>190</v>
      </c>
      <c r="E54" s="12">
        <v>254963</v>
      </c>
      <c r="F54" s="12"/>
      <c r="G54" s="12">
        <v>47756</v>
      </c>
      <c r="H54" s="12"/>
      <c r="I54" s="12">
        <v>70128</v>
      </c>
      <c r="J54" s="12"/>
      <c r="K54" s="12">
        <v>89467</v>
      </c>
      <c r="L54" s="12"/>
      <c r="M54" s="12">
        <v>28311</v>
      </c>
      <c r="N54" s="12"/>
      <c r="O54" s="12">
        <v>10257</v>
      </c>
      <c r="P54" s="12"/>
      <c r="Q54" s="12">
        <v>15835</v>
      </c>
      <c r="R54" s="12"/>
      <c r="S54" s="12">
        <v>0</v>
      </c>
      <c r="T54" s="12"/>
      <c r="U54" s="12">
        <v>0</v>
      </c>
      <c r="V54" s="12"/>
      <c r="W54" s="12">
        <v>75590</v>
      </c>
      <c r="X54" s="12"/>
      <c r="Y54" s="12">
        <v>0</v>
      </c>
      <c r="Z54" s="12"/>
      <c r="AA54" s="12">
        <v>0</v>
      </c>
      <c r="AB54" s="12"/>
      <c r="AC54" s="12">
        <f t="shared" si="0"/>
        <v>592307</v>
      </c>
    </row>
    <row r="55" spans="1:29" s="11" customFormat="1" ht="12">
      <c r="A55" s="11" t="s">
        <v>165</v>
      </c>
      <c r="C55" s="11" t="s">
        <v>143</v>
      </c>
      <c r="E55" s="12">
        <v>129155.56</v>
      </c>
      <c r="F55" s="12"/>
      <c r="G55" s="12">
        <v>36112.75</v>
      </c>
      <c r="H55" s="12"/>
      <c r="I55" s="12">
        <v>51106.24</v>
      </c>
      <c r="J55" s="12"/>
      <c r="K55" s="12">
        <v>31493.6</v>
      </c>
      <c r="L55" s="12"/>
      <c r="M55" s="12">
        <v>5721.99</v>
      </c>
      <c r="N55" s="12"/>
      <c r="O55" s="12">
        <v>1821.82</v>
      </c>
      <c r="P55" s="12"/>
      <c r="Q55" s="12">
        <v>1570.45</v>
      </c>
      <c r="R55" s="12"/>
      <c r="S55" s="12">
        <v>0</v>
      </c>
      <c r="T55" s="12"/>
      <c r="U55" s="12">
        <v>0</v>
      </c>
      <c r="V55" s="12"/>
      <c r="W55" s="12">
        <v>0</v>
      </c>
      <c r="X55" s="12"/>
      <c r="Y55" s="12">
        <v>0</v>
      </c>
      <c r="Z55" s="12"/>
      <c r="AA55" s="12">
        <v>0</v>
      </c>
      <c r="AB55" s="12"/>
      <c r="AC55" s="12">
        <f t="shared" si="0"/>
        <v>256982.41</v>
      </c>
    </row>
    <row r="56" spans="1:29" s="11" customFormat="1" ht="12">
      <c r="A56" s="11" t="s">
        <v>220</v>
      </c>
      <c r="C56" s="11" t="s">
        <v>144</v>
      </c>
      <c r="E56" s="12">
        <v>310290.54</v>
      </c>
      <c r="F56" s="12"/>
      <c r="G56" s="12">
        <v>59857.49</v>
      </c>
      <c r="H56" s="12"/>
      <c r="I56" s="12">
        <v>81684.73</v>
      </c>
      <c r="J56" s="12"/>
      <c r="K56" s="12">
        <v>143851.06</v>
      </c>
      <c r="L56" s="12"/>
      <c r="M56" s="12">
        <v>18171.81</v>
      </c>
      <c r="N56" s="12"/>
      <c r="O56" s="12">
        <v>2792.52</v>
      </c>
      <c r="P56" s="12"/>
      <c r="Q56" s="12">
        <v>11401.59</v>
      </c>
      <c r="R56" s="12"/>
      <c r="S56" s="12">
        <v>0</v>
      </c>
      <c r="T56" s="12"/>
      <c r="U56" s="12">
        <v>0</v>
      </c>
      <c r="V56" s="12"/>
      <c r="W56" s="12">
        <v>400000</v>
      </c>
      <c r="X56" s="12"/>
      <c r="Y56" s="12">
        <v>0</v>
      </c>
      <c r="Z56" s="12"/>
      <c r="AA56" s="12">
        <v>0</v>
      </c>
      <c r="AB56" s="12"/>
      <c r="AC56" s="12">
        <f t="shared" si="0"/>
        <v>1028049.74</v>
      </c>
    </row>
    <row r="57" spans="1:29" s="11" customFormat="1" ht="12">
      <c r="A57" s="11" t="s">
        <v>221</v>
      </c>
      <c r="C57" s="11" t="s">
        <v>188</v>
      </c>
      <c r="E57" s="12">
        <v>24217072</v>
      </c>
      <c r="F57" s="12"/>
      <c r="G57" s="12">
        <v>6317031</v>
      </c>
      <c r="H57" s="12"/>
      <c r="I57" s="12">
        <v>7594376</v>
      </c>
      <c r="J57" s="12"/>
      <c r="K57" s="12">
        <v>7006066</v>
      </c>
      <c r="L57" s="12"/>
      <c r="M57" s="12">
        <v>1127257</v>
      </c>
      <c r="N57" s="12"/>
      <c r="O57" s="12">
        <v>697325</v>
      </c>
      <c r="P57" s="12"/>
      <c r="Q57" s="12">
        <v>400962</v>
      </c>
      <c r="R57" s="12"/>
      <c r="S57" s="12">
        <v>0</v>
      </c>
      <c r="T57" s="12"/>
      <c r="U57" s="12">
        <v>0</v>
      </c>
      <c r="V57" s="12"/>
      <c r="W57" s="12">
        <v>2495240</v>
      </c>
      <c r="X57" s="12"/>
      <c r="Y57" s="12">
        <v>0</v>
      </c>
      <c r="Z57" s="12"/>
      <c r="AA57" s="12">
        <v>0</v>
      </c>
      <c r="AB57" s="12"/>
      <c r="AC57" s="12">
        <f t="shared" si="0"/>
        <v>49855329</v>
      </c>
    </row>
    <row r="58" spans="1:63" s="38" customFormat="1" ht="12.75">
      <c r="A58" s="11" t="s">
        <v>529</v>
      </c>
      <c r="B58" s="11"/>
      <c r="C58" s="12" t="s">
        <v>163</v>
      </c>
      <c r="D58" s="12"/>
      <c r="E58" s="12">
        <v>356264.33</v>
      </c>
      <c r="F58" s="12"/>
      <c r="G58" s="12">
        <v>99798</v>
      </c>
      <c r="H58" s="12"/>
      <c r="I58" s="12">
        <v>104264.4</v>
      </c>
      <c r="J58" s="12"/>
      <c r="K58" s="12">
        <v>90143.7</v>
      </c>
      <c r="L58" s="12"/>
      <c r="M58" s="12">
        <v>15078.89</v>
      </c>
      <c r="N58" s="12"/>
      <c r="O58" s="12">
        <v>2125.87</v>
      </c>
      <c r="P58" s="12"/>
      <c r="Q58" s="12">
        <v>21066.92</v>
      </c>
      <c r="R58" s="12"/>
      <c r="S58" s="12">
        <v>0</v>
      </c>
      <c r="T58" s="12"/>
      <c r="U58" s="12">
        <v>0</v>
      </c>
      <c r="V58" s="12"/>
      <c r="W58" s="12">
        <v>0</v>
      </c>
      <c r="X58" s="12"/>
      <c r="Y58" s="12">
        <v>0</v>
      </c>
      <c r="Z58" s="12"/>
      <c r="AA58" s="12">
        <v>0</v>
      </c>
      <c r="AB58" s="12"/>
      <c r="AC58" s="12">
        <f t="shared" si="0"/>
        <v>688742.11</v>
      </c>
      <c r="AD58" s="35"/>
      <c r="AE58" s="36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</row>
    <row r="59" spans="1:29" s="11" customFormat="1" ht="12">
      <c r="A59" s="11" t="s">
        <v>222</v>
      </c>
      <c r="C59" s="11" t="s">
        <v>136</v>
      </c>
      <c r="E59" s="12">
        <v>325091</v>
      </c>
      <c r="F59" s="12"/>
      <c r="G59" s="12">
        <v>86637</v>
      </c>
      <c r="H59" s="12"/>
      <c r="I59" s="12">
        <v>49581</v>
      </c>
      <c r="J59" s="12"/>
      <c r="K59" s="12">
        <v>82962</v>
      </c>
      <c r="L59" s="12"/>
      <c r="M59" s="12">
        <v>24540</v>
      </c>
      <c r="N59" s="12"/>
      <c r="O59" s="12">
        <v>13042</v>
      </c>
      <c r="P59" s="12"/>
      <c r="Q59" s="12">
        <v>11037</v>
      </c>
      <c r="R59" s="12"/>
      <c r="S59" s="12">
        <v>0</v>
      </c>
      <c r="T59" s="12"/>
      <c r="U59" s="12">
        <v>0</v>
      </c>
      <c r="V59" s="12"/>
      <c r="W59" s="12">
        <v>0</v>
      </c>
      <c r="X59" s="12"/>
      <c r="Y59" s="12">
        <v>0</v>
      </c>
      <c r="Z59" s="12"/>
      <c r="AA59" s="12">
        <v>0</v>
      </c>
      <c r="AB59" s="12"/>
      <c r="AC59" s="12">
        <f t="shared" si="0"/>
        <v>592890</v>
      </c>
    </row>
    <row r="60" spans="1:29" s="11" customFormat="1" ht="12">
      <c r="A60" s="11" t="s">
        <v>223</v>
      </c>
      <c r="C60" s="11" t="s">
        <v>224</v>
      </c>
      <c r="E60" s="12">
        <v>728527</v>
      </c>
      <c r="F60" s="12"/>
      <c r="G60" s="12">
        <v>184013</v>
      </c>
      <c r="H60" s="12"/>
      <c r="I60" s="12">
        <v>160256</v>
      </c>
      <c r="J60" s="12"/>
      <c r="K60" s="12">
        <v>179318</v>
      </c>
      <c r="L60" s="12"/>
      <c r="M60" s="12">
        <v>26406</v>
      </c>
      <c r="N60" s="12"/>
      <c r="O60" s="12">
        <v>6531</v>
      </c>
      <c r="P60" s="12"/>
      <c r="Q60" s="12">
        <v>5757</v>
      </c>
      <c r="R60" s="12"/>
      <c r="S60" s="12">
        <v>0</v>
      </c>
      <c r="T60" s="12"/>
      <c r="U60" s="12">
        <v>0</v>
      </c>
      <c r="V60" s="12"/>
      <c r="W60" s="12">
        <v>0</v>
      </c>
      <c r="X60" s="12"/>
      <c r="Y60" s="12">
        <v>0</v>
      </c>
      <c r="Z60" s="12"/>
      <c r="AA60" s="12">
        <v>107</v>
      </c>
      <c r="AB60" s="12"/>
      <c r="AC60" s="12">
        <f t="shared" si="0"/>
        <v>1290915</v>
      </c>
    </row>
    <row r="61" spans="1:29" s="11" customFormat="1" ht="12">
      <c r="A61" s="11" t="s">
        <v>225</v>
      </c>
      <c r="C61" s="11" t="s">
        <v>145</v>
      </c>
      <c r="E61" s="12">
        <v>222431.02</v>
      </c>
      <c r="F61" s="12"/>
      <c r="G61" s="12">
        <v>36260.69</v>
      </c>
      <c r="H61" s="12"/>
      <c r="I61" s="12">
        <v>84491.65</v>
      </c>
      <c r="J61" s="12"/>
      <c r="K61" s="12">
        <v>98407.08</v>
      </c>
      <c r="L61" s="12"/>
      <c r="M61" s="12">
        <v>18845.83</v>
      </c>
      <c r="N61" s="12"/>
      <c r="O61" s="12">
        <v>1418.24</v>
      </c>
      <c r="P61" s="12"/>
      <c r="Q61" s="12">
        <v>2617.2</v>
      </c>
      <c r="R61" s="12"/>
      <c r="S61" s="12">
        <v>0</v>
      </c>
      <c r="T61" s="12"/>
      <c r="U61" s="12">
        <v>0</v>
      </c>
      <c r="V61" s="12"/>
      <c r="W61" s="12">
        <v>0</v>
      </c>
      <c r="X61" s="12"/>
      <c r="Y61" s="12">
        <v>0</v>
      </c>
      <c r="Z61" s="12"/>
      <c r="AA61" s="12">
        <v>0</v>
      </c>
      <c r="AB61" s="12"/>
      <c r="AC61" s="12">
        <f t="shared" si="0"/>
        <v>464471.71</v>
      </c>
    </row>
    <row r="62" spans="1:29" s="11" customFormat="1" ht="12">
      <c r="A62" s="11" t="s">
        <v>226</v>
      </c>
      <c r="C62" s="11" t="s">
        <v>110</v>
      </c>
      <c r="E62" s="12">
        <v>28983418</v>
      </c>
      <c r="F62" s="12"/>
      <c r="G62" s="12">
        <v>8340743</v>
      </c>
      <c r="H62" s="12"/>
      <c r="I62" s="12">
        <v>8086170</v>
      </c>
      <c r="J62" s="12"/>
      <c r="K62" s="12">
        <v>8829593</v>
      </c>
      <c r="L62" s="12"/>
      <c r="M62" s="12">
        <v>1635134</v>
      </c>
      <c r="N62" s="12"/>
      <c r="O62" s="12">
        <v>96777</v>
      </c>
      <c r="P62" s="12"/>
      <c r="Q62" s="12">
        <v>2571888</v>
      </c>
      <c r="R62" s="12"/>
      <c r="S62" s="12">
        <v>0</v>
      </c>
      <c r="T62" s="12"/>
      <c r="U62" s="12">
        <v>0</v>
      </c>
      <c r="V62" s="12"/>
      <c r="W62" s="12">
        <v>4500000</v>
      </c>
      <c r="X62" s="12"/>
      <c r="Y62" s="12">
        <v>30000</v>
      </c>
      <c r="Z62" s="12"/>
      <c r="AA62" s="12">
        <v>0</v>
      </c>
      <c r="AB62" s="12"/>
      <c r="AC62" s="12">
        <f t="shared" si="0"/>
        <v>63073723</v>
      </c>
    </row>
    <row r="63" spans="1:29" s="11" customFormat="1" ht="12">
      <c r="A63" s="11" t="s">
        <v>227</v>
      </c>
      <c r="C63" s="11" t="s">
        <v>148</v>
      </c>
      <c r="E63" s="12">
        <v>0</v>
      </c>
      <c r="F63" s="12"/>
      <c r="G63" s="12">
        <v>15694848</v>
      </c>
      <c r="H63" s="12"/>
      <c r="I63" s="12">
        <f>5807335+404416+827847+2511539</f>
        <v>9551137</v>
      </c>
      <c r="J63" s="12"/>
      <c r="K63" s="12">
        <v>0</v>
      </c>
      <c r="L63" s="12"/>
      <c r="M63" s="12">
        <v>0</v>
      </c>
      <c r="N63" s="12"/>
      <c r="O63" s="12">
        <v>0</v>
      </c>
      <c r="P63" s="12"/>
      <c r="Q63" s="12">
        <v>1889257</v>
      </c>
      <c r="R63" s="12"/>
      <c r="S63" s="12">
        <v>0</v>
      </c>
      <c r="T63" s="12"/>
      <c r="U63" s="12">
        <v>0</v>
      </c>
      <c r="V63" s="12"/>
      <c r="W63" s="12">
        <v>3500000</v>
      </c>
      <c r="X63" s="12"/>
      <c r="Y63" s="12">
        <v>0</v>
      </c>
      <c r="Z63" s="12"/>
      <c r="AA63" s="12">
        <v>0</v>
      </c>
      <c r="AB63" s="12"/>
      <c r="AC63" s="12">
        <f t="shared" si="0"/>
        <v>30635242</v>
      </c>
    </row>
    <row r="64" spans="1:29" s="11" customFormat="1" ht="12">
      <c r="A64" s="11" t="s">
        <v>228</v>
      </c>
      <c r="C64" s="11" t="s">
        <v>229</v>
      </c>
      <c r="E64" s="12">
        <v>721342</v>
      </c>
      <c r="F64" s="12"/>
      <c r="G64" s="12">
        <v>169857</v>
      </c>
      <c r="H64" s="12"/>
      <c r="I64" s="12">
        <v>264967</v>
      </c>
      <c r="J64" s="12"/>
      <c r="K64" s="12">
        <v>240037</v>
      </c>
      <c r="L64" s="12"/>
      <c r="M64" s="12">
        <v>31800</v>
      </c>
      <c r="N64" s="12"/>
      <c r="O64" s="12">
        <v>8145</v>
      </c>
      <c r="P64" s="12"/>
      <c r="Q64" s="12">
        <v>17333</v>
      </c>
      <c r="R64" s="12"/>
      <c r="S64" s="12">
        <v>0</v>
      </c>
      <c r="T64" s="12"/>
      <c r="U64" s="12">
        <v>0</v>
      </c>
      <c r="V64" s="12"/>
      <c r="W64" s="12">
        <v>0</v>
      </c>
      <c r="X64" s="12"/>
      <c r="Y64" s="12">
        <v>0</v>
      </c>
      <c r="Z64" s="12"/>
      <c r="AA64" s="12">
        <v>0</v>
      </c>
      <c r="AB64" s="12"/>
      <c r="AC64" s="12">
        <f t="shared" si="0"/>
        <v>1453481</v>
      </c>
    </row>
    <row r="65" spans="1:29" s="11" customFormat="1" ht="12">
      <c r="A65" s="11" t="s">
        <v>230</v>
      </c>
      <c r="C65" s="11" t="s">
        <v>163</v>
      </c>
      <c r="E65" s="12">
        <v>1472860</v>
      </c>
      <c r="F65" s="12"/>
      <c r="G65" s="12">
        <v>0</v>
      </c>
      <c r="H65" s="12"/>
      <c r="I65" s="12">
        <v>266387</v>
      </c>
      <c r="J65" s="12"/>
      <c r="K65" s="12">
        <v>344959</v>
      </c>
      <c r="L65" s="12"/>
      <c r="M65" s="12">
        <v>111089</v>
      </c>
      <c r="N65" s="12"/>
      <c r="O65" s="12">
        <v>17405</v>
      </c>
      <c r="P65" s="12"/>
      <c r="Q65" s="12">
        <v>19504</v>
      </c>
      <c r="R65" s="12"/>
      <c r="S65" s="12">
        <v>0</v>
      </c>
      <c r="T65" s="12"/>
      <c r="U65" s="12">
        <v>0</v>
      </c>
      <c r="V65" s="12"/>
      <c r="W65" s="12">
        <v>0</v>
      </c>
      <c r="X65" s="12"/>
      <c r="Y65" s="12">
        <v>0</v>
      </c>
      <c r="Z65" s="12"/>
      <c r="AA65" s="12">
        <v>0</v>
      </c>
      <c r="AB65" s="12"/>
      <c r="AC65" s="12">
        <f t="shared" si="0"/>
        <v>2232204</v>
      </c>
    </row>
    <row r="66" spans="1:29" s="11" customFormat="1" ht="12">
      <c r="A66" s="11" t="s">
        <v>231</v>
      </c>
      <c r="C66" s="11" t="s">
        <v>194</v>
      </c>
      <c r="E66" s="12">
        <v>249729.26</v>
      </c>
      <c r="F66" s="12"/>
      <c r="G66" s="12">
        <v>36580.66</v>
      </c>
      <c r="H66" s="12"/>
      <c r="I66" s="12">
        <v>45253.97</v>
      </c>
      <c r="J66" s="12"/>
      <c r="K66" s="12">
        <v>109525.01</v>
      </c>
      <c r="L66" s="12"/>
      <c r="M66" s="12">
        <v>25405.36</v>
      </c>
      <c r="N66" s="12"/>
      <c r="O66" s="12">
        <v>7817</v>
      </c>
      <c r="P66" s="12"/>
      <c r="Q66" s="12">
        <v>14211.5</v>
      </c>
      <c r="R66" s="12"/>
      <c r="S66" s="12">
        <v>0</v>
      </c>
      <c r="T66" s="12"/>
      <c r="U66" s="12">
        <v>0</v>
      </c>
      <c r="V66" s="12"/>
      <c r="W66" s="12">
        <v>0</v>
      </c>
      <c r="X66" s="12"/>
      <c r="Y66" s="12">
        <v>0</v>
      </c>
      <c r="Z66" s="12"/>
      <c r="AA66" s="12">
        <v>0</v>
      </c>
      <c r="AB66" s="12"/>
      <c r="AC66" s="12">
        <f t="shared" si="0"/>
        <v>488522.76</v>
      </c>
    </row>
    <row r="67" spans="1:29" s="11" customFormat="1" ht="12">
      <c r="A67" s="11" t="s">
        <v>232</v>
      </c>
      <c r="C67" s="11" t="s">
        <v>135</v>
      </c>
      <c r="E67" s="12">
        <v>224655.59</v>
      </c>
      <c r="F67" s="12"/>
      <c r="G67" s="12">
        <v>41976.55</v>
      </c>
      <c r="H67" s="12"/>
      <c r="I67" s="12">
        <v>54689.08</v>
      </c>
      <c r="J67" s="12"/>
      <c r="K67" s="12">
        <v>74601.04</v>
      </c>
      <c r="L67" s="12"/>
      <c r="M67" s="12">
        <v>16057.88</v>
      </c>
      <c r="N67" s="12"/>
      <c r="O67" s="12">
        <v>8340.4</v>
      </c>
      <c r="P67" s="12"/>
      <c r="Q67" s="12">
        <v>44062.97</v>
      </c>
      <c r="R67" s="12"/>
      <c r="S67" s="12">
        <v>0</v>
      </c>
      <c r="T67" s="12"/>
      <c r="U67" s="12">
        <v>0</v>
      </c>
      <c r="V67" s="12"/>
      <c r="W67" s="12">
        <v>0</v>
      </c>
      <c r="X67" s="12"/>
      <c r="Y67" s="12">
        <v>0</v>
      </c>
      <c r="Z67" s="12"/>
      <c r="AA67" s="12">
        <v>0</v>
      </c>
      <c r="AB67" s="12"/>
      <c r="AC67" s="12">
        <f t="shared" si="0"/>
        <v>464383.51</v>
      </c>
    </row>
    <row r="68" spans="1:29" s="11" customFormat="1" ht="12">
      <c r="A68" s="11" t="s">
        <v>233</v>
      </c>
      <c r="C68" s="11" t="s">
        <v>156</v>
      </c>
      <c r="E68" s="12">
        <v>192849</v>
      </c>
      <c r="F68" s="12"/>
      <c r="G68" s="12">
        <v>62035</v>
      </c>
      <c r="H68" s="12"/>
      <c r="I68" s="12">
        <v>42140</v>
      </c>
      <c r="J68" s="12"/>
      <c r="K68" s="12">
        <v>42234</v>
      </c>
      <c r="L68" s="12"/>
      <c r="M68" s="12">
        <v>9743</v>
      </c>
      <c r="N68" s="12"/>
      <c r="O68" s="12">
        <v>12306</v>
      </c>
      <c r="P68" s="12"/>
      <c r="Q68" s="12">
        <v>5755</v>
      </c>
      <c r="R68" s="12"/>
      <c r="S68" s="12">
        <v>0</v>
      </c>
      <c r="T68" s="12"/>
      <c r="U68" s="12">
        <v>0</v>
      </c>
      <c r="V68" s="12"/>
      <c r="W68" s="12">
        <v>0</v>
      </c>
      <c r="X68" s="12"/>
      <c r="Y68" s="12">
        <v>0</v>
      </c>
      <c r="Z68" s="12"/>
      <c r="AA68" s="12">
        <v>0</v>
      </c>
      <c r="AB68" s="12"/>
      <c r="AC68" s="12">
        <f t="shared" si="0"/>
        <v>367062</v>
      </c>
    </row>
    <row r="69" spans="1:29" s="11" customFormat="1" ht="12">
      <c r="A69" s="11" t="s">
        <v>234</v>
      </c>
      <c r="C69" s="11" t="s">
        <v>117</v>
      </c>
      <c r="E69" s="12">
        <v>327157</v>
      </c>
      <c r="F69" s="12"/>
      <c r="G69" s="12">
        <v>120360</v>
      </c>
      <c r="H69" s="12"/>
      <c r="I69" s="12">
        <v>96686</v>
      </c>
      <c r="J69" s="12"/>
      <c r="K69" s="12">
        <v>156189</v>
      </c>
      <c r="L69" s="12"/>
      <c r="M69" s="12">
        <v>14340</v>
      </c>
      <c r="N69" s="12"/>
      <c r="O69" s="12">
        <v>3034</v>
      </c>
      <c r="P69" s="12"/>
      <c r="Q69" s="12">
        <v>78120</v>
      </c>
      <c r="R69" s="12"/>
      <c r="S69" s="12">
        <v>0</v>
      </c>
      <c r="T69" s="12"/>
      <c r="U69" s="12">
        <v>0</v>
      </c>
      <c r="V69" s="12"/>
      <c r="W69" s="12">
        <v>0</v>
      </c>
      <c r="X69" s="12"/>
      <c r="Y69" s="12">
        <v>0</v>
      </c>
      <c r="Z69" s="12"/>
      <c r="AA69" s="12">
        <v>0</v>
      </c>
      <c r="AB69" s="12"/>
      <c r="AC69" s="12">
        <f t="shared" si="0"/>
        <v>795886</v>
      </c>
    </row>
    <row r="70" spans="1:29" s="11" customFormat="1" ht="12">
      <c r="A70" s="11" t="s">
        <v>492</v>
      </c>
      <c r="C70" s="11" t="s">
        <v>236</v>
      </c>
      <c r="E70" s="12">
        <v>667941.08</v>
      </c>
      <c r="F70" s="12"/>
      <c r="G70" s="12">
        <v>221142.68</v>
      </c>
      <c r="H70" s="12"/>
      <c r="I70" s="12">
        <v>110004.95</v>
      </c>
      <c r="J70" s="12"/>
      <c r="K70" s="12">
        <v>203296.33</v>
      </c>
      <c r="L70" s="12"/>
      <c r="M70" s="12">
        <v>49367.1</v>
      </c>
      <c r="N70" s="12"/>
      <c r="O70" s="12">
        <v>9034.69</v>
      </c>
      <c r="P70" s="12"/>
      <c r="Q70" s="12">
        <v>22057.93</v>
      </c>
      <c r="R70" s="12"/>
      <c r="S70" s="12">
        <v>0</v>
      </c>
      <c r="T70" s="12"/>
      <c r="U70" s="12">
        <v>0</v>
      </c>
      <c r="V70" s="12"/>
      <c r="W70" s="12">
        <v>0</v>
      </c>
      <c r="X70" s="12"/>
      <c r="Y70" s="12">
        <v>0</v>
      </c>
      <c r="Z70" s="12"/>
      <c r="AA70" s="12">
        <v>0</v>
      </c>
      <c r="AB70" s="12"/>
      <c r="AC70" s="12">
        <f t="shared" si="0"/>
        <v>1282844.76</v>
      </c>
    </row>
    <row r="71" spans="1:29" s="11" customFormat="1" ht="12">
      <c r="A71" s="11" t="s">
        <v>237</v>
      </c>
      <c r="C71" s="11" t="s">
        <v>183</v>
      </c>
      <c r="E71" s="12">
        <v>27117</v>
      </c>
      <c r="F71" s="12"/>
      <c r="G71" s="12">
        <v>3984</v>
      </c>
      <c r="H71" s="12"/>
      <c r="I71" s="12">
        <v>5510</v>
      </c>
      <c r="J71" s="12"/>
      <c r="K71" s="12">
        <v>11101</v>
      </c>
      <c r="L71" s="12"/>
      <c r="M71" s="12">
        <v>1665</v>
      </c>
      <c r="N71" s="12"/>
      <c r="O71" s="12">
        <v>23418</v>
      </c>
      <c r="P71" s="12"/>
      <c r="Q71" s="12">
        <v>0</v>
      </c>
      <c r="R71" s="12"/>
      <c r="S71" s="12">
        <v>0</v>
      </c>
      <c r="T71" s="12"/>
      <c r="U71" s="12">
        <v>0</v>
      </c>
      <c r="V71" s="12"/>
      <c r="W71" s="12">
        <v>0</v>
      </c>
      <c r="X71" s="12"/>
      <c r="Y71" s="12">
        <v>0</v>
      </c>
      <c r="Z71" s="12"/>
      <c r="AA71" s="12">
        <v>0</v>
      </c>
      <c r="AB71" s="12"/>
      <c r="AC71" s="12">
        <f t="shared" si="0"/>
        <v>72795</v>
      </c>
    </row>
    <row r="72" spans="5:29" s="11" customFormat="1" ht="12"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B72" s="12"/>
      <c r="AC72" s="27" t="s">
        <v>98</v>
      </c>
    </row>
    <row r="73" spans="1:30" s="11" customFormat="1" ht="12">
      <c r="A73" s="11" t="s">
        <v>238</v>
      </c>
      <c r="C73" s="11" t="s">
        <v>144</v>
      </c>
      <c r="E73" s="26">
        <v>236169.69</v>
      </c>
      <c r="F73" s="26"/>
      <c r="G73" s="26">
        <v>73535.08</v>
      </c>
      <c r="H73" s="26"/>
      <c r="I73" s="26">
        <v>38886.64</v>
      </c>
      <c r="J73" s="26"/>
      <c r="K73" s="26">
        <v>83419.1</v>
      </c>
      <c r="L73" s="26"/>
      <c r="M73" s="26">
        <v>19155.03</v>
      </c>
      <c r="N73" s="26"/>
      <c r="O73" s="26">
        <v>424.62</v>
      </c>
      <c r="P73" s="26"/>
      <c r="Q73" s="26">
        <v>9358.72</v>
      </c>
      <c r="R73" s="26"/>
      <c r="S73" s="26">
        <v>0</v>
      </c>
      <c r="T73" s="26"/>
      <c r="U73" s="26">
        <v>0</v>
      </c>
      <c r="V73" s="26"/>
      <c r="W73" s="26">
        <v>15446.74</v>
      </c>
      <c r="X73" s="26"/>
      <c r="Y73" s="26">
        <v>0</v>
      </c>
      <c r="Z73" s="26"/>
      <c r="AA73" s="26">
        <v>0</v>
      </c>
      <c r="AB73" s="26"/>
      <c r="AC73" s="26">
        <f t="shared" si="0"/>
        <v>476395.62</v>
      </c>
      <c r="AD73" s="26"/>
    </row>
    <row r="74" spans="1:29" s="11" customFormat="1" ht="12">
      <c r="A74" s="11" t="s">
        <v>599</v>
      </c>
      <c r="C74" s="11" t="s">
        <v>111</v>
      </c>
      <c r="E74" s="12">
        <v>0</v>
      </c>
      <c r="F74" s="12"/>
      <c r="G74" s="12">
        <v>0</v>
      </c>
      <c r="H74" s="12"/>
      <c r="I74" s="12">
        <f>186484+182226+572279+18060</f>
        <v>959049</v>
      </c>
      <c r="J74" s="12"/>
      <c r="K74" s="12">
        <f>795551+446401</f>
        <v>1241952</v>
      </c>
      <c r="L74" s="12"/>
      <c r="M74" s="12">
        <v>0</v>
      </c>
      <c r="N74" s="12"/>
      <c r="O74" s="12">
        <v>0</v>
      </c>
      <c r="P74" s="12"/>
      <c r="Q74" s="12">
        <v>0</v>
      </c>
      <c r="R74" s="12"/>
      <c r="S74" s="12">
        <v>0</v>
      </c>
      <c r="T74" s="12"/>
      <c r="U74" s="12">
        <v>0</v>
      </c>
      <c r="V74" s="12"/>
      <c r="W74" s="12">
        <v>0</v>
      </c>
      <c r="X74" s="12"/>
      <c r="Y74" s="12">
        <v>0</v>
      </c>
      <c r="Z74" s="12"/>
      <c r="AA74" s="12">
        <v>0</v>
      </c>
      <c r="AB74" s="12"/>
      <c r="AC74" s="12">
        <f>SUM(E74:AA74)</f>
        <v>2201001</v>
      </c>
    </row>
    <row r="75" spans="1:29" s="11" customFormat="1" ht="12">
      <c r="A75" s="11" t="s">
        <v>239</v>
      </c>
      <c r="C75" s="11" t="s">
        <v>150</v>
      </c>
      <c r="E75" s="12">
        <v>1712471</v>
      </c>
      <c r="F75" s="12"/>
      <c r="G75" s="12">
        <v>467062</v>
      </c>
      <c r="H75" s="12"/>
      <c r="I75" s="12">
        <v>521815</v>
      </c>
      <c r="J75" s="12"/>
      <c r="K75" s="12">
        <v>444418</v>
      </c>
      <c r="L75" s="12"/>
      <c r="M75" s="12">
        <v>66774</v>
      </c>
      <c r="N75" s="12"/>
      <c r="O75" s="12">
        <v>14167</v>
      </c>
      <c r="P75" s="12"/>
      <c r="Q75" s="12">
        <v>62132</v>
      </c>
      <c r="R75" s="12"/>
      <c r="S75" s="12">
        <v>0</v>
      </c>
      <c r="T75" s="12"/>
      <c r="U75" s="12">
        <v>0</v>
      </c>
      <c r="V75" s="12"/>
      <c r="W75" s="12">
        <v>279000</v>
      </c>
      <c r="X75" s="12"/>
      <c r="Y75" s="12">
        <v>0</v>
      </c>
      <c r="Z75" s="12"/>
      <c r="AA75" s="12">
        <v>0</v>
      </c>
      <c r="AB75" s="12"/>
      <c r="AC75" s="12">
        <f t="shared" si="0"/>
        <v>3567839</v>
      </c>
    </row>
    <row r="76" spans="1:29" s="11" customFormat="1" ht="12">
      <c r="A76" s="11" t="s">
        <v>109</v>
      </c>
      <c r="C76" s="11" t="s">
        <v>110</v>
      </c>
      <c r="E76" s="12"/>
      <c r="F76" s="12"/>
      <c r="G76" s="12">
        <v>0</v>
      </c>
      <c r="H76" s="12"/>
      <c r="I76" s="12">
        <f>1910271+1313600</f>
        <v>3223871</v>
      </c>
      <c r="J76" s="12"/>
      <c r="K76" s="12">
        <f>427774+171912+742456</f>
        <v>1342142</v>
      </c>
      <c r="L76" s="12"/>
      <c r="M76" s="12">
        <v>0</v>
      </c>
      <c r="N76" s="12"/>
      <c r="O76" s="12">
        <v>56378</v>
      </c>
      <c r="P76" s="12"/>
      <c r="Q76" s="12">
        <v>112026</v>
      </c>
      <c r="R76" s="12"/>
      <c r="S76" s="12">
        <v>0</v>
      </c>
      <c r="T76" s="12"/>
      <c r="U76" s="12">
        <v>0</v>
      </c>
      <c r="V76" s="12"/>
      <c r="W76" s="12">
        <v>0</v>
      </c>
      <c r="X76" s="12"/>
      <c r="Y76" s="12">
        <v>0</v>
      </c>
      <c r="Z76" s="12"/>
      <c r="AA76" s="12">
        <v>0</v>
      </c>
      <c r="AB76" s="12"/>
      <c r="AC76" s="12">
        <f aca="true" t="shared" si="1" ref="AC76:AC134">SUM(E76:AA76)</f>
        <v>4734417</v>
      </c>
    </row>
    <row r="77" spans="1:29" s="11" customFormat="1" ht="12">
      <c r="A77" s="11" t="s">
        <v>240</v>
      </c>
      <c r="C77" s="11" t="s">
        <v>135</v>
      </c>
      <c r="E77" s="12">
        <v>134774.01</v>
      </c>
      <c r="F77" s="12"/>
      <c r="G77" s="12">
        <v>33141.05</v>
      </c>
      <c r="H77" s="12"/>
      <c r="I77" s="12">
        <v>117514.57</v>
      </c>
      <c r="J77" s="12"/>
      <c r="K77" s="12">
        <v>27919.04</v>
      </c>
      <c r="L77" s="12"/>
      <c r="M77" s="12">
        <v>25593.58</v>
      </c>
      <c r="N77" s="12"/>
      <c r="O77" s="12">
        <v>4962</v>
      </c>
      <c r="P77" s="12"/>
      <c r="Q77" s="12">
        <v>197498.3</v>
      </c>
      <c r="R77" s="12"/>
      <c r="S77" s="12">
        <v>0</v>
      </c>
      <c r="T77" s="12"/>
      <c r="U77" s="12">
        <v>0</v>
      </c>
      <c r="V77" s="12"/>
      <c r="W77" s="12">
        <v>0</v>
      </c>
      <c r="X77" s="12"/>
      <c r="Y77" s="12">
        <v>0</v>
      </c>
      <c r="Z77" s="12"/>
      <c r="AA77" s="12">
        <v>0</v>
      </c>
      <c r="AB77" s="12"/>
      <c r="AC77" s="12">
        <f t="shared" si="1"/>
        <v>541402.55</v>
      </c>
    </row>
    <row r="78" spans="1:29" s="11" customFormat="1" ht="12">
      <c r="A78" s="11" t="s">
        <v>241</v>
      </c>
      <c r="C78" s="11" t="s">
        <v>160</v>
      </c>
      <c r="E78" s="12">
        <v>1635955</v>
      </c>
      <c r="F78" s="12"/>
      <c r="G78" s="12">
        <v>454969</v>
      </c>
      <c r="H78" s="12"/>
      <c r="I78" s="12">
        <v>625282</v>
      </c>
      <c r="J78" s="12"/>
      <c r="K78" s="12">
        <v>645042</v>
      </c>
      <c r="L78" s="12"/>
      <c r="M78" s="12">
        <v>111369</v>
      </c>
      <c r="N78" s="12"/>
      <c r="O78" s="12">
        <v>13501</v>
      </c>
      <c r="P78" s="12"/>
      <c r="Q78" s="12">
        <v>191994</v>
      </c>
      <c r="R78" s="12"/>
      <c r="S78" s="12">
        <v>0</v>
      </c>
      <c r="T78" s="12"/>
      <c r="U78" s="12">
        <v>0</v>
      </c>
      <c r="V78" s="12"/>
      <c r="W78" s="12">
        <v>429372</v>
      </c>
      <c r="X78" s="12"/>
      <c r="Y78" s="12">
        <v>0</v>
      </c>
      <c r="Z78" s="12"/>
      <c r="AA78" s="12">
        <v>0</v>
      </c>
      <c r="AB78" s="12"/>
      <c r="AC78" s="12">
        <f t="shared" si="1"/>
        <v>4107484</v>
      </c>
    </row>
    <row r="79" spans="1:29" s="11" customFormat="1" ht="12">
      <c r="A79" s="11" t="s">
        <v>242</v>
      </c>
      <c r="C79" s="11" t="s">
        <v>106</v>
      </c>
      <c r="E79" s="12">
        <v>202831</v>
      </c>
      <c r="F79" s="12"/>
      <c r="G79" s="12">
        <v>57642</v>
      </c>
      <c r="H79" s="12"/>
      <c r="I79" s="12">
        <v>55221</v>
      </c>
      <c r="J79" s="12"/>
      <c r="K79" s="12">
        <v>66481</v>
      </c>
      <c r="L79" s="12"/>
      <c r="M79" s="12">
        <v>6732</v>
      </c>
      <c r="N79" s="12"/>
      <c r="O79" s="12">
        <v>1179</v>
      </c>
      <c r="P79" s="12"/>
      <c r="Q79" s="12">
        <v>6023</v>
      </c>
      <c r="R79" s="12"/>
      <c r="S79" s="12">
        <v>0</v>
      </c>
      <c r="T79" s="12"/>
      <c r="U79" s="12">
        <v>0</v>
      </c>
      <c r="V79" s="12"/>
      <c r="W79" s="12">
        <v>20000</v>
      </c>
      <c r="X79" s="12"/>
      <c r="Y79" s="12">
        <v>0</v>
      </c>
      <c r="Z79" s="12"/>
      <c r="AA79" s="12">
        <v>0</v>
      </c>
      <c r="AB79" s="12"/>
      <c r="AC79" s="12">
        <f t="shared" si="1"/>
        <v>416109</v>
      </c>
    </row>
    <row r="80" spans="1:29" s="11" customFormat="1" ht="12">
      <c r="A80" s="11" t="s">
        <v>243</v>
      </c>
      <c r="C80" s="11" t="s">
        <v>244</v>
      </c>
      <c r="E80" s="12">
        <v>0</v>
      </c>
      <c r="F80" s="12"/>
      <c r="G80" s="12">
        <v>0</v>
      </c>
      <c r="H80" s="12"/>
      <c r="I80" s="12">
        <f>705705+697696</f>
        <v>1403401</v>
      </c>
      <c r="J80" s="12"/>
      <c r="K80" s="12">
        <f>210861+74115+741039+76682</f>
        <v>1102697</v>
      </c>
      <c r="L80" s="12"/>
      <c r="M80" s="12">
        <v>0</v>
      </c>
      <c r="N80" s="12"/>
      <c r="O80" s="12">
        <v>0</v>
      </c>
      <c r="P80" s="12"/>
      <c r="Q80" s="12">
        <v>0</v>
      </c>
      <c r="R80" s="12"/>
      <c r="S80" s="12">
        <v>0</v>
      </c>
      <c r="T80" s="12"/>
      <c r="U80" s="12">
        <v>47242</v>
      </c>
      <c r="V80" s="12"/>
      <c r="W80" s="12">
        <v>200000</v>
      </c>
      <c r="X80" s="12"/>
      <c r="Y80" s="12">
        <v>0</v>
      </c>
      <c r="Z80" s="12"/>
      <c r="AA80" s="12">
        <v>0</v>
      </c>
      <c r="AB80" s="12"/>
      <c r="AC80" s="12">
        <f t="shared" si="1"/>
        <v>2753340</v>
      </c>
    </row>
    <row r="81" spans="1:29" s="11" customFormat="1" ht="12">
      <c r="A81" s="11" t="s">
        <v>245</v>
      </c>
      <c r="C81" s="11" t="s">
        <v>146</v>
      </c>
      <c r="E81" s="12">
        <v>436872.58</v>
      </c>
      <c r="F81" s="12"/>
      <c r="G81" s="12">
        <v>163814.8</v>
      </c>
      <c r="H81" s="12"/>
      <c r="I81" s="12">
        <v>121060.9</v>
      </c>
      <c r="J81" s="12"/>
      <c r="K81" s="12">
        <v>126535.04</v>
      </c>
      <c r="L81" s="12"/>
      <c r="M81" s="12">
        <v>18960.3</v>
      </c>
      <c r="N81" s="12"/>
      <c r="O81" s="12">
        <v>155.5</v>
      </c>
      <c r="P81" s="12"/>
      <c r="Q81" s="12">
        <v>7084.17</v>
      </c>
      <c r="R81" s="12"/>
      <c r="S81" s="12">
        <v>0</v>
      </c>
      <c r="T81" s="12"/>
      <c r="U81" s="12">
        <v>0</v>
      </c>
      <c r="V81" s="12"/>
      <c r="W81" s="12">
        <v>0</v>
      </c>
      <c r="X81" s="12"/>
      <c r="Y81" s="12">
        <v>0</v>
      </c>
      <c r="Z81" s="12"/>
      <c r="AA81" s="12">
        <v>0</v>
      </c>
      <c r="AB81" s="12"/>
      <c r="AC81" s="12">
        <f t="shared" si="1"/>
        <v>874483.2900000002</v>
      </c>
    </row>
    <row r="82" spans="1:29" s="11" customFormat="1" ht="12">
      <c r="A82" s="11" t="s">
        <v>246</v>
      </c>
      <c r="C82" s="11" t="s">
        <v>154</v>
      </c>
      <c r="E82" s="12">
        <v>43961.15</v>
      </c>
      <c r="F82" s="12"/>
      <c r="G82" s="12">
        <v>10842.83</v>
      </c>
      <c r="H82" s="12"/>
      <c r="I82" s="12">
        <v>23665.11</v>
      </c>
      <c r="J82" s="12"/>
      <c r="K82" s="12">
        <v>19732.52</v>
      </c>
      <c r="L82" s="12"/>
      <c r="M82" s="12">
        <v>3888.55</v>
      </c>
      <c r="N82" s="12"/>
      <c r="O82" s="12">
        <v>1745.19</v>
      </c>
      <c r="P82" s="12"/>
      <c r="Q82" s="12">
        <v>1874.04</v>
      </c>
      <c r="R82" s="12"/>
      <c r="S82" s="12">
        <v>0</v>
      </c>
      <c r="T82" s="12"/>
      <c r="U82" s="12">
        <v>0</v>
      </c>
      <c r="V82" s="12"/>
      <c r="W82" s="12">
        <v>0</v>
      </c>
      <c r="X82" s="12"/>
      <c r="Y82" s="12">
        <v>0</v>
      </c>
      <c r="Z82" s="12"/>
      <c r="AA82" s="12">
        <v>0</v>
      </c>
      <c r="AB82" s="12"/>
      <c r="AC82" s="12">
        <f t="shared" si="1"/>
        <v>105709.39</v>
      </c>
    </row>
    <row r="83" spans="1:29" s="11" customFormat="1" ht="12">
      <c r="A83" s="11" t="s">
        <v>247</v>
      </c>
      <c r="C83" s="11" t="s">
        <v>143</v>
      </c>
      <c r="E83" s="12">
        <v>55161</v>
      </c>
      <c r="F83" s="12"/>
      <c r="G83" s="12">
        <v>8153</v>
      </c>
      <c r="H83" s="12"/>
      <c r="I83" s="12">
        <v>17185</v>
      </c>
      <c r="J83" s="12"/>
      <c r="K83" s="12">
        <v>31010</v>
      </c>
      <c r="L83" s="12"/>
      <c r="M83" s="12">
        <v>11513</v>
      </c>
      <c r="N83" s="12"/>
      <c r="O83" s="12">
        <v>956</v>
      </c>
      <c r="P83" s="12"/>
      <c r="Q83" s="12">
        <v>3515</v>
      </c>
      <c r="R83" s="12"/>
      <c r="S83" s="12">
        <v>0</v>
      </c>
      <c r="T83" s="12"/>
      <c r="U83" s="12">
        <v>0</v>
      </c>
      <c r="V83" s="12"/>
      <c r="W83" s="12">
        <v>0</v>
      </c>
      <c r="X83" s="12"/>
      <c r="Y83" s="12">
        <v>0</v>
      </c>
      <c r="Z83" s="12"/>
      <c r="AA83" s="12">
        <v>0</v>
      </c>
      <c r="AB83" s="12"/>
      <c r="AC83" s="12">
        <f t="shared" si="1"/>
        <v>127493</v>
      </c>
    </row>
    <row r="84" spans="1:29" s="11" customFormat="1" ht="12">
      <c r="A84" s="11" t="s">
        <v>248</v>
      </c>
      <c r="C84" s="11" t="s">
        <v>147</v>
      </c>
      <c r="E84" s="12">
        <v>778543.59</v>
      </c>
      <c r="F84" s="12"/>
      <c r="G84" s="12">
        <v>242107.69</v>
      </c>
      <c r="H84" s="12"/>
      <c r="I84" s="12">
        <v>120392.09</v>
      </c>
      <c r="J84" s="12"/>
      <c r="K84" s="12">
        <v>266174.65</v>
      </c>
      <c r="L84" s="12"/>
      <c r="M84" s="12">
        <v>41286.27</v>
      </c>
      <c r="N84" s="12"/>
      <c r="O84" s="12">
        <v>9000</v>
      </c>
      <c r="P84" s="12"/>
      <c r="Q84" s="12">
        <v>1015.14</v>
      </c>
      <c r="R84" s="12"/>
      <c r="S84" s="12">
        <v>0</v>
      </c>
      <c r="T84" s="12"/>
      <c r="U84" s="12">
        <v>0</v>
      </c>
      <c r="V84" s="12"/>
      <c r="W84" s="12">
        <v>0</v>
      </c>
      <c r="X84" s="12"/>
      <c r="Y84" s="12">
        <v>0</v>
      </c>
      <c r="Z84" s="12"/>
      <c r="AA84" s="12">
        <v>1430.12</v>
      </c>
      <c r="AB84" s="12"/>
      <c r="AC84" s="12">
        <f t="shared" si="1"/>
        <v>1459949.55</v>
      </c>
    </row>
    <row r="85" spans="1:29" s="11" customFormat="1" ht="12">
      <c r="A85" s="11" t="s">
        <v>249</v>
      </c>
      <c r="C85" s="11" t="s">
        <v>145</v>
      </c>
      <c r="E85" s="12">
        <v>293691.53</v>
      </c>
      <c r="F85" s="12"/>
      <c r="G85" s="12">
        <v>71180.97</v>
      </c>
      <c r="H85" s="12"/>
      <c r="I85" s="12">
        <v>114910.59</v>
      </c>
      <c r="J85" s="12"/>
      <c r="K85" s="12">
        <v>111192.78</v>
      </c>
      <c r="L85" s="12"/>
      <c r="M85" s="12">
        <v>11531.75</v>
      </c>
      <c r="N85" s="12"/>
      <c r="O85" s="12">
        <v>2881.43</v>
      </c>
      <c r="P85" s="12"/>
      <c r="Q85" s="12">
        <v>2258.11</v>
      </c>
      <c r="R85" s="12"/>
      <c r="S85" s="12">
        <v>0</v>
      </c>
      <c r="T85" s="12"/>
      <c r="U85" s="12">
        <v>0</v>
      </c>
      <c r="V85" s="12"/>
      <c r="W85" s="12">
        <v>0</v>
      </c>
      <c r="X85" s="12"/>
      <c r="Y85" s="12">
        <v>0</v>
      </c>
      <c r="Z85" s="12"/>
      <c r="AA85" s="12">
        <v>0</v>
      </c>
      <c r="AB85" s="12"/>
      <c r="AC85" s="12">
        <f t="shared" si="1"/>
        <v>607647.16</v>
      </c>
    </row>
    <row r="86" spans="1:29" s="11" customFormat="1" ht="12">
      <c r="A86" s="11" t="s">
        <v>250</v>
      </c>
      <c r="C86" s="11" t="s">
        <v>251</v>
      </c>
      <c r="E86" s="12">
        <v>493195</v>
      </c>
      <c r="F86" s="12"/>
      <c r="G86" s="12">
        <v>152925</v>
      </c>
      <c r="H86" s="12"/>
      <c r="I86" s="12">
        <v>124280</v>
      </c>
      <c r="J86" s="12"/>
      <c r="K86" s="12">
        <v>149693</v>
      </c>
      <c r="L86" s="12"/>
      <c r="M86" s="12">
        <v>26795</v>
      </c>
      <c r="N86" s="12"/>
      <c r="O86" s="12">
        <v>4358</v>
      </c>
      <c r="P86" s="12"/>
      <c r="Q86" s="12">
        <v>46730</v>
      </c>
      <c r="R86" s="12"/>
      <c r="S86" s="12">
        <v>0</v>
      </c>
      <c r="T86" s="12"/>
      <c r="U86" s="12">
        <v>0</v>
      </c>
      <c r="V86" s="12"/>
      <c r="W86" s="12">
        <v>0</v>
      </c>
      <c r="X86" s="12"/>
      <c r="Y86" s="12">
        <v>0</v>
      </c>
      <c r="Z86" s="12"/>
      <c r="AA86" s="12">
        <v>0</v>
      </c>
      <c r="AB86" s="12"/>
      <c r="AC86" s="12">
        <f t="shared" si="1"/>
        <v>997976</v>
      </c>
    </row>
    <row r="87" spans="1:29" s="11" customFormat="1" ht="12">
      <c r="A87" s="11" t="s">
        <v>252</v>
      </c>
      <c r="C87" s="11" t="s">
        <v>108</v>
      </c>
      <c r="E87" s="12">
        <v>0</v>
      </c>
      <c r="F87" s="12"/>
      <c r="G87" s="12">
        <v>0</v>
      </c>
      <c r="H87" s="12"/>
      <c r="I87" s="12">
        <f>927701+1299166+1214+2327345</f>
        <v>4555426</v>
      </c>
      <c r="J87" s="12"/>
      <c r="K87" s="12">
        <v>1069823</v>
      </c>
      <c r="L87" s="12"/>
      <c r="M87" s="12">
        <v>0</v>
      </c>
      <c r="N87" s="12"/>
      <c r="O87" s="12">
        <v>0</v>
      </c>
      <c r="P87" s="12"/>
      <c r="Q87" s="12">
        <v>43666</v>
      </c>
      <c r="R87" s="12"/>
      <c r="S87" s="12">
        <v>0</v>
      </c>
      <c r="T87" s="12"/>
      <c r="U87" s="12">
        <v>0</v>
      </c>
      <c r="V87" s="12"/>
      <c r="W87" s="12">
        <v>0</v>
      </c>
      <c r="X87" s="12"/>
      <c r="Y87" s="12">
        <v>0</v>
      </c>
      <c r="Z87" s="12"/>
      <c r="AA87" s="12">
        <v>224412</v>
      </c>
      <c r="AB87" s="12"/>
      <c r="AC87" s="12">
        <f t="shared" si="1"/>
        <v>5893327</v>
      </c>
    </row>
    <row r="88" spans="1:29" s="11" customFormat="1" ht="12">
      <c r="A88" s="11" t="s">
        <v>253</v>
      </c>
      <c r="C88" s="11" t="s">
        <v>148</v>
      </c>
      <c r="E88" s="12">
        <v>438356.05</v>
      </c>
      <c r="F88" s="12"/>
      <c r="G88" s="12">
        <v>117738.6</v>
      </c>
      <c r="H88" s="12"/>
      <c r="I88" s="12">
        <v>77799.07</v>
      </c>
      <c r="J88" s="12"/>
      <c r="K88" s="12">
        <v>90031.85</v>
      </c>
      <c r="L88" s="12"/>
      <c r="M88" s="12">
        <v>15754.16</v>
      </c>
      <c r="N88" s="12"/>
      <c r="O88" s="12">
        <v>5717.8</v>
      </c>
      <c r="P88" s="12"/>
      <c r="Q88" s="12">
        <v>13817.11</v>
      </c>
      <c r="R88" s="12"/>
      <c r="S88" s="12">
        <v>0</v>
      </c>
      <c r="T88" s="12"/>
      <c r="U88" s="12">
        <v>0</v>
      </c>
      <c r="V88" s="12"/>
      <c r="W88" s="12">
        <v>100000</v>
      </c>
      <c r="X88" s="12"/>
      <c r="Y88" s="12">
        <v>0</v>
      </c>
      <c r="Z88" s="12"/>
      <c r="AA88" s="12">
        <v>0</v>
      </c>
      <c r="AB88" s="12"/>
      <c r="AC88" s="12">
        <f t="shared" si="1"/>
        <v>859214.64</v>
      </c>
    </row>
    <row r="89" spans="1:29" s="11" customFormat="1" ht="12">
      <c r="A89" s="11" t="s">
        <v>127</v>
      </c>
      <c r="C89" s="11" t="s">
        <v>149</v>
      </c>
      <c r="E89" s="12">
        <v>405961.89</v>
      </c>
      <c r="F89" s="12"/>
      <c r="G89" s="12">
        <v>145323.18</v>
      </c>
      <c r="H89" s="12"/>
      <c r="I89" s="12">
        <v>87790.51</v>
      </c>
      <c r="J89" s="12"/>
      <c r="K89" s="12">
        <v>104149.44</v>
      </c>
      <c r="L89" s="12"/>
      <c r="M89" s="12">
        <v>17410.67</v>
      </c>
      <c r="N89" s="12"/>
      <c r="O89" s="12">
        <v>4310.73</v>
      </c>
      <c r="P89" s="12"/>
      <c r="Q89" s="12">
        <v>4545.37</v>
      </c>
      <c r="R89" s="12"/>
      <c r="S89" s="12">
        <v>0</v>
      </c>
      <c r="T89" s="12"/>
      <c r="U89" s="12">
        <v>0</v>
      </c>
      <c r="V89" s="12"/>
      <c r="W89" s="12">
        <v>0</v>
      </c>
      <c r="X89" s="12"/>
      <c r="Y89" s="12">
        <v>0</v>
      </c>
      <c r="Z89" s="12"/>
      <c r="AA89" s="12">
        <v>0</v>
      </c>
      <c r="AB89" s="12"/>
      <c r="AC89" s="12">
        <f t="shared" si="1"/>
        <v>769491.79</v>
      </c>
    </row>
    <row r="90" spans="1:29" s="11" customFormat="1" ht="12">
      <c r="A90" s="11" t="s">
        <v>128</v>
      </c>
      <c r="C90" s="11" t="s">
        <v>117</v>
      </c>
      <c r="E90" s="12">
        <v>81994.21</v>
      </c>
      <c r="F90" s="12"/>
      <c r="G90" s="12">
        <v>12613.95</v>
      </c>
      <c r="H90" s="12"/>
      <c r="I90" s="12">
        <v>16947.51</v>
      </c>
      <c r="J90" s="12"/>
      <c r="K90" s="12">
        <v>31441.39</v>
      </c>
      <c r="L90" s="12"/>
      <c r="M90" s="12">
        <v>6916.33</v>
      </c>
      <c r="N90" s="12"/>
      <c r="O90" s="12">
        <v>1220</v>
      </c>
      <c r="P90" s="12"/>
      <c r="Q90" s="12">
        <v>2985</v>
      </c>
      <c r="R90" s="12"/>
      <c r="S90" s="12">
        <v>0</v>
      </c>
      <c r="T90" s="12"/>
      <c r="U90" s="12">
        <v>0</v>
      </c>
      <c r="V90" s="12"/>
      <c r="W90" s="12">
        <v>0</v>
      </c>
      <c r="X90" s="12"/>
      <c r="Y90" s="12">
        <v>0</v>
      </c>
      <c r="Z90" s="12"/>
      <c r="AA90" s="12">
        <v>0</v>
      </c>
      <c r="AB90" s="12"/>
      <c r="AC90" s="12">
        <f t="shared" si="1"/>
        <v>154118.38999999998</v>
      </c>
    </row>
    <row r="91" spans="1:29" s="11" customFormat="1" ht="12">
      <c r="A91" s="11" t="s">
        <v>254</v>
      </c>
      <c r="C91" s="11" t="s">
        <v>150</v>
      </c>
      <c r="E91" s="12">
        <v>281564.82</v>
      </c>
      <c r="F91" s="12"/>
      <c r="G91" s="12">
        <v>80320.55</v>
      </c>
      <c r="H91" s="12"/>
      <c r="I91" s="12">
        <v>88795.54</v>
      </c>
      <c r="J91" s="12"/>
      <c r="K91" s="12">
        <v>100638.26</v>
      </c>
      <c r="L91" s="12"/>
      <c r="M91" s="12">
        <v>10876.22</v>
      </c>
      <c r="N91" s="12"/>
      <c r="O91" s="12">
        <v>1780.7</v>
      </c>
      <c r="P91" s="12"/>
      <c r="Q91" s="12">
        <v>26117.74</v>
      </c>
      <c r="R91" s="12"/>
      <c r="S91" s="12">
        <v>0</v>
      </c>
      <c r="T91" s="12"/>
      <c r="U91" s="12">
        <v>0</v>
      </c>
      <c r="V91" s="12"/>
      <c r="W91" s="12">
        <v>0</v>
      </c>
      <c r="X91" s="12"/>
      <c r="Y91" s="12">
        <v>0</v>
      </c>
      <c r="Z91" s="12"/>
      <c r="AA91" s="12">
        <v>0</v>
      </c>
      <c r="AB91" s="12"/>
      <c r="AC91" s="12">
        <f t="shared" si="1"/>
        <v>590093.8299999998</v>
      </c>
    </row>
    <row r="92" spans="1:29" s="11" customFormat="1" ht="12">
      <c r="A92" s="11" t="s">
        <v>457</v>
      </c>
      <c r="C92" s="11" t="s">
        <v>136</v>
      </c>
      <c r="E92" s="12">
        <v>94052.58</v>
      </c>
      <c r="F92" s="12"/>
      <c r="G92" s="12">
        <v>14398.72</v>
      </c>
      <c r="H92" s="12"/>
      <c r="I92" s="12">
        <v>34933.67</v>
      </c>
      <c r="J92" s="12"/>
      <c r="K92" s="12">
        <v>36898.81</v>
      </c>
      <c r="L92" s="12"/>
      <c r="M92" s="12">
        <v>6316.98</v>
      </c>
      <c r="N92" s="12"/>
      <c r="O92" s="12">
        <v>4074.85</v>
      </c>
      <c r="P92" s="12"/>
      <c r="Q92" s="12">
        <v>268.53</v>
      </c>
      <c r="R92" s="12"/>
      <c r="S92" s="12">
        <v>0</v>
      </c>
      <c r="T92" s="12"/>
      <c r="U92" s="12">
        <v>0</v>
      </c>
      <c r="V92" s="12"/>
      <c r="W92" s="12">
        <v>0</v>
      </c>
      <c r="X92" s="12"/>
      <c r="Y92" s="12">
        <v>0</v>
      </c>
      <c r="Z92" s="12"/>
      <c r="AA92" s="12">
        <v>0</v>
      </c>
      <c r="AB92" s="12"/>
      <c r="AC92" s="12">
        <f t="shared" si="1"/>
        <v>190944.14</v>
      </c>
    </row>
    <row r="93" spans="1:29" s="11" customFormat="1" ht="12">
      <c r="A93" s="11" t="s">
        <v>256</v>
      </c>
      <c r="C93" s="11" t="s">
        <v>188</v>
      </c>
      <c r="E93" s="12">
        <v>1253718</v>
      </c>
      <c r="F93" s="12"/>
      <c r="G93" s="12">
        <v>432669</v>
      </c>
      <c r="H93" s="12"/>
      <c r="I93" s="12">
        <v>418923</v>
      </c>
      <c r="J93" s="12"/>
      <c r="K93" s="12">
        <v>371676</v>
      </c>
      <c r="L93" s="12"/>
      <c r="M93" s="12">
        <v>51574</v>
      </c>
      <c r="N93" s="12"/>
      <c r="O93" s="12">
        <v>11893</v>
      </c>
      <c r="P93" s="12"/>
      <c r="Q93" s="12">
        <v>30279</v>
      </c>
      <c r="R93" s="12"/>
      <c r="S93" s="12">
        <v>0</v>
      </c>
      <c r="T93" s="12"/>
      <c r="U93" s="12">
        <v>0</v>
      </c>
      <c r="V93" s="12"/>
      <c r="W93" s="12">
        <v>0</v>
      </c>
      <c r="X93" s="12"/>
      <c r="Y93" s="12">
        <v>0</v>
      </c>
      <c r="Z93" s="12"/>
      <c r="AA93" s="12">
        <v>0</v>
      </c>
      <c r="AB93" s="12"/>
      <c r="AC93" s="12">
        <f t="shared" si="1"/>
        <v>2570732</v>
      </c>
    </row>
    <row r="94" spans="1:29" s="11" customFormat="1" ht="12">
      <c r="A94" s="11" t="s">
        <v>257</v>
      </c>
      <c r="C94" s="11" t="s">
        <v>134</v>
      </c>
      <c r="E94" s="12">
        <v>420967</v>
      </c>
      <c r="F94" s="12"/>
      <c r="G94" s="12">
        <v>120143</v>
      </c>
      <c r="H94" s="12"/>
      <c r="I94" s="12">
        <v>97829</v>
      </c>
      <c r="J94" s="12"/>
      <c r="K94" s="12">
        <v>92648</v>
      </c>
      <c r="L94" s="12"/>
      <c r="M94" s="12">
        <v>8239</v>
      </c>
      <c r="N94" s="12"/>
      <c r="O94" s="12">
        <v>2943</v>
      </c>
      <c r="P94" s="12"/>
      <c r="Q94" s="12">
        <v>721</v>
      </c>
      <c r="R94" s="12"/>
      <c r="S94" s="12">
        <v>0</v>
      </c>
      <c r="T94" s="12"/>
      <c r="U94" s="12">
        <v>0</v>
      </c>
      <c r="V94" s="12"/>
      <c r="W94" s="12">
        <v>100000</v>
      </c>
      <c r="X94" s="12"/>
      <c r="Y94" s="12">
        <v>0</v>
      </c>
      <c r="Z94" s="12"/>
      <c r="AA94" s="12">
        <v>0</v>
      </c>
      <c r="AB94" s="12"/>
      <c r="AC94" s="12">
        <f t="shared" si="1"/>
        <v>843490</v>
      </c>
    </row>
    <row r="95" spans="1:29" s="11" customFormat="1" ht="12">
      <c r="A95" s="11" t="s">
        <v>258</v>
      </c>
      <c r="C95" s="11" t="s">
        <v>259</v>
      </c>
      <c r="E95" s="12">
        <v>0</v>
      </c>
      <c r="F95" s="12"/>
      <c r="G95" s="12">
        <v>0</v>
      </c>
      <c r="H95" s="12"/>
      <c r="I95" s="12">
        <f>2890893+369554</f>
        <v>3260447</v>
      </c>
      <c r="J95" s="12"/>
      <c r="K95" s="12">
        <f>1277586+564095+271538+1189024</f>
        <v>3302243</v>
      </c>
      <c r="L95" s="12"/>
      <c r="M95" s="12">
        <v>0</v>
      </c>
      <c r="N95" s="12"/>
      <c r="O95" s="12">
        <v>0</v>
      </c>
      <c r="P95" s="12"/>
      <c r="Q95" s="12">
        <v>54903</v>
      </c>
      <c r="R95" s="12"/>
      <c r="S95" s="12">
        <v>0</v>
      </c>
      <c r="T95" s="12"/>
      <c r="U95" s="12">
        <v>0</v>
      </c>
      <c r="V95" s="12"/>
      <c r="W95" s="12">
        <v>2505076</v>
      </c>
      <c r="X95" s="12"/>
      <c r="Y95" s="12">
        <v>0</v>
      </c>
      <c r="Z95" s="12"/>
      <c r="AA95" s="12">
        <v>0</v>
      </c>
      <c r="AB95" s="12"/>
      <c r="AC95" s="12">
        <f t="shared" si="1"/>
        <v>9122669</v>
      </c>
    </row>
    <row r="96" spans="1:29" s="11" customFormat="1" ht="12">
      <c r="A96" s="11" t="s">
        <v>260</v>
      </c>
      <c r="C96" s="11" t="s">
        <v>174</v>
      </c>
      <c r="E96" s="12">
        <v>531000</v>
      </c>
      <c r="F96" s="12"/>
      <c r="G96" s="12">
        <v>67177.39</v>
      </c>
      <c r="H96" s="12"/>
      <c r="I96" s="12">
        <v>118126.23</v>
      </c>
      <c r="J96" s="12"/>
      <c r="K96" s="12">
        <v>206400.29</v>
      </c>
      <c r="L96" s="12"/>
      <c r="M96" s="12">
        <v>69568</v>
      </c>
      <c r="N96" s="12"/>
      <c r="O96" s="12">
        <v>9000</v>
      </c>
      <c r="P96" s="12"/>
      <c r="Q96" s="12">
        <v>13500</v>
      </c>
      <c r="R96" s="12"/>
      <c r="S96" s="12">
        <v>0</v>
      </c>
      <c r="T96" s="12"/>
      <c r="U96" s="12">
        <v>0</v>
      </c>
      <c r="V96" s="12"/>
      <c r="W96" s="12">
        <v>0</v>
      </c>
      <c r="X96" s="12"/>
      <c r="Y96" s="12">
        <v>0</v>
      </c>
      <c r="Z96" s="12"/>
      <c r="AA96" s="12">
        <v>5000</v>
      </c>
      <c r="AB96" s="12"/>
      <c r="AC96" s="12">
        <f t="shared" si="1"/>
        <v>1019771.91</v>
      </c>
    </row>
    <row r="97" spans="1:29" s="11" customFormat="1" ht="12">
      <c r="A97" s="11" t="s">
        <v>261</v>
      </c>
      <c r="C97" s="11" t="s">
        <v>262</v>
      </c>
      <c r="E97" s="12">
        <v>722720</v>
      </c>
      <c r="F97" s="12"/>
      <c r="G97" s="12">
        <v>229003</v>
      </c>
      <c r="H97" s="12"/>
      <c r="I97" s="12">
        <v>226563</v>
      </c>
      <c r="J97" s="12"/>
      <c r="K97" s="12">
        <v>297768</v>
      </c>
      <c r="L97" s="12"/>
      <c r="M97" s="12">
        <v>59804</v>
      </c>
      <c r="N97" s="12"/>
      <c r="O97" s="12">
        <v>10110</v>
      </c>
      <c r="P97" s="12"/>
      <c r="Q97" s="12">
        <v>34246</v>
      </c>
      <c r="R97" s="12"/>
      <c r="S97" s="12">
        <v>0</v>
      </c>
      <c r="T97" s="12"/>
      <c r="U97" s="12">
        <v>0</v>
      </c>
      <c r="V97" s="12"/>
      <c r="W97" s="12">
        <v>0</v>
      </c>
      <c r="X97" s="12"/>
      <c r="Y97" s="12">
        <v>0</v>
      </c>
      <c r="Z97" s="12"/>
      <c r="AA97" s="12">
        <v>0</v>
      </c>
      <c r="AB97" s="12"/>
      <c r="AC97" s="12">
        <f t="shared" si="1"/>
        <v>1580214</v>
      </c>
    </row>
    <row r="98" spans="1:29" s="11" customFormat="1" ht="12">
      <c r="A98" s="11" t="s">
        <v>263</v>
      </c>
      <c r="C98" s="11" t="s">
        <v>136</v>
      </c>
      <c r="E98" s="12">
        <v>221940.69</v>
      </c>
      <c r="F98" s="12"/>
      <c r="G98" s="12">
        <v>55229.89</v>
      </c>
      <c r="H98" s="12"/>
      <c r="I98" s="12">
        <v>94074.67</v>
      </c>
      <c r="J98" s="12"/>
      <c r="K98" s="12">
        <v>43875.18</v>
      </c>
      <c r="L98" s="12"/>
      <c r="M98" s="12">
        <v>12353.14</v>
      </c>
      <c r="N98" s="12"/>
      <c r="O98" s="12">
        <v>3211.57</v>
      </c>
      <c r="P98" s="12"/>
      <c r="Q98" s="12">
        <v>0</v>
      </c>
      <c r="R98" s="12"/>
      <c r="S98" s="12">
        <v>0</v>
      </c>
      <c r="T98" s="12"/>
      <c r="U98" s="12">
        <v>0</v>
      </c>
      <c r="V98" s="12"/>
      <c r="W98" s="12">
        <v>112560</v>
      </c>
      <c r="X98" s="12"/>
      <c r="Y98" s="12">
        <v>0</v>
      </c>
      <c r="Z98" s="12"/>
      <c r="AA98" s="12">
        <v>0</v>
      </c>
      <c r="AB98" s="12"/>
      <c r="AC98" s="12">
        <f t="shared" si="1"/>
        <v>543245.14</v>
      </c>
    </row>
    <row r="99" spans="1:29" s="11" customFormat="1" ht="12">
      <c r="A99" s="11" t="s">
        <v>264</v>
      </c>
      <c r="C99" s="11" t="s">
        <v>154</v>
      </c>
      <c r="E99" s="12">
        <v>33233</v>
      </c>
      <c r="G99" s="12">
        <v>5670</v>
      </c>
      <c r="I99" s="12">
        <v>15453</v>
      </c>
      <c r="K99" s="12">
        <v>16673</v>
      </c>
      <c r="M99" s="12">
        <v>2262</v>
      </c>
      <c r="O99" s="12">
        <v>1319</v>
      </c>
      <c r="Q99" s="12">
        <v>10483</v>
      </c>
      <c r="S99" s="12">
        <v>0</v>
      </c>
      <c r="U99" s="12">
        <v>0</v>
      </c>
      <c r="W99" s="12">
        <v>0</v>
      </c>
      <c r="Y99" s="12">
        <v>0</v>
      </c>
      <c r="AA99" s="12">
        <v>0</v>
      </c>
      <c r="AB99" s="12"/>
      <c r="AC99" s="12">
        <f t="shared" si="1"/>
        <v>85093</v>
      </c>
    </row>
    <row r="100" spans="1:29" s="11" customFormat="1" ht="12">
      <c r="A100" s="11" t="s">
        <v>265</v>
      </c>
      <c r="C100" s="11" t="s">
        <v>266</v>
      </c>
      <c r="E100" s="12">
        <v>277690</v>
      </c>
      <c r="F100" s="12"/>
      <c r="G100" s="12">
        <v>58116</v>
      </c>
      <c r="H100" s="12"/>
      <c r="I100" s="12">
        <v>77189</v>
      </c>
      <c r="J100" s="12"/>
      <c r="K100" s="12">
        <v>61194</v>
      </c>
      <c r="L100" s="12"/>
      <c r="M100" s="12">
        <v>15637</v>
      </c>
      <c r="N100" s="12"/>
      <c r="O100" s="12">
        <v>18097</v>
      </c>
      <c r="P100" s="12"/>
      <c r="Q100" s="12">
        <v>0</v>
      </c>
      <c r="R100" s="12"/>
      <c r="S100" s="12">
        <v>0</v>
      </c>
      <c r="T100" s="12"/>
      <c r="U100" s="12">
        <v>0</v>
      </c>
      <c r="V100" s="12"/>
      <c r="W100" s="12">
        <v>0</v>
      </c>
      <c r="X100" s="12"/>
      <c r="Y100" s="12">
        <v>0</v>
      </c>
      <c r="Z100" s="12"/>
      <c r="AA100" s="12">
        <v>0</v>
      </c>
      <c r="AB100" s="12"/>
      <c r="AC100" s="12">
        <f t="shared" si="1"/>
        <v>507923</v>
      </c>
    </row>
    <row r="101" spans="1:29" s="11" customFormat="1" ht="12">
      <c r="A101" s="11" t="s">
        <v>267</v>
      </c>
      <c r="C101" s="11" t="s">
        <v>136</v>
      </c>
      <c r="E101" s="12">
        <v>196311.84</v>
      </c>
      <c r="F101" s="12"/>
      <c r="G101" s="12">
        <v>51190.2</v>
      </c>
      <c r="H101" s="12"/>
      <c r="I101" s="12">
        <v>74385.06</v>
      </c>
      <c r="J101" s="12"/>
      <c r="K101" s="12">
        <v>75554.89</v>
      </c>
      <c r="L101" s="12"/>
      <c r="M101" s="12">
        <v>8409.38</v>
      </c>
      <c r="N101" s="12"/>
      <c r="O101" s="12">
        <v>1929.88</v>
      </c>
      <c r="P101" s="12"/>
      <c r="Q101" s="12">
        <v>159.18</v>
      </c>
      <c r="R101" s="12"/>
      <c r="S101" s="12">
        <v>0</v>
      </c>
      <c r="T101" s="12"/>
      <c r="U101" s="12">
        <v>0</v>
      </c>
      <c r="V101" s="12"/>
      <c r="W101" s="12">
        <v>0</v>
      </c>
      <c r="X101" s="12"/>
      <c r="Y101" s="12">
        <v>500</v>
      </c>
      <c r="Z101" s="12"/>
      <c r="AA101" s="12">
        <v>1530.78</v>
      </c>
      <c r="AB101" s="12"/>
      <c r="AC101" s="12">
        <f t="shared" si="1"/>
        <v>409971.21</v>
      </c>
    </row>
    <row r="102" spans="1:29" s="11" customFormat="1" ht="12">
      <c r="A102" s="11" t="s">
        <v>268</v>
      </c>
      <c r="C102" s="11" t="s">
        <v>269</v>
      </c>
      <c r="E102" s="12">
        <v>215602</v>
      </c>
      <c r="F102" s="12"/>
      <c r="G102" s="12">
        <v>60885</v>
      </c>
      <c r="H102" s="12"/>
      <c r="I102" s="12">
        <v>59019</v>
      </c>
      <c r="J102" s="12"/>
      <c r="K102" s="12">
        <v>18191</v>
      </c>
      <c r="L102" s="12"/>
      <c r="M102" s="12">
        <v>26569</v>
      </c>
      <c r="N102" s="12"/>
      <c r="O102" s="12">
        <v>1781</v>
      </c>
      <c r="P102" s="12"/>
      <c r="Q102" s="12">
        <v>18849</v>
      </c>
      <c r="R102" s="12"/>
      <c r="S102" s="12">
        <v>0</v>
      </c>
      <c r="T102" s="12"/>
      <c r="U102" s="12">
        <v>0</v>
      </c>
      <c r="V102" s="12"/>
      <c r="W102" s="12">
        <v>0</v>
      </c>
      <c r="X102" s="12"/>
      <c r="Y102" s="12">
        <v>0</v>
      </c>
      <c r="Z102" s="12"/>
      <c r="AA102" s="12">
        <v>0</v>
      </c>
      <c r="AB102" s="12"/>
      <c r="AC102" s="12">
        <f t="shared" si="1"/>
        <v>400896</v>
      </c>
    </row>
    <row r="103" spans="1:29" s="11" customFormat="1" ht="12">
      <c r="A103" s="11" t="s">
        <v>129</v>
      </c>
      <c r="C103" s="11" t="s">
        <v>150</v>
      </c>
      <c r="E103" s="12">
        <v>223348.15</v>
      </c>
      <c r="F103" s="12"/>
      <c r="G103" s="12">
        <v>61811.36</v>
      </c>
      <c r="H103" s="12"/>
      <c r="I103" s="12">
        <v>61978.7</v>
      </c>
      <c r="J103" s="12"/>
      <c r="K103" s="12">
        <v>51245.2</v>
      </c>
      <c r="L103" s="12"/>
      <c r="M103" s="12">
        <v>7618.64</v>
      </c>
      <c r="N103" s="12"/>
      <c r="O103" s="12">
        <v>2709.65</v>
      </c>
      <c r="P103" s="12"/>
      <c r="Q103" s="12">
        <v>5321.94</v>
      </c>
      <c r="R103" s="12"/>
      <c r="S103" s="12">
        <v>0</v>
      </c>
      <c r="T103" s="12"/>
      <c r="U103" s="12">
        <v>0</v>
      </c>
      <c r="V103" s="12"/>
      <c r="W103" s="12">
        <v>20000</v>
      </c>
      <c r="X103" s="12"/>
      <c r="Y103" s="12">
        <v>0</v>
      </c>
      <c r="Z103" s="12"/>
      <c r="AA103" s="12">
        <v>0</v>
      </c>
      <c r="AB103" s="12"/>
      <c r="AC103" s="12">
        <f t="shared" si="1"/>
        <v>434033.6400000001</v>
      </c>
    </row>
    <row r="104" spans="1:29" s="11" customFormat="1" ht="12">
      <c r="A104" s="11" t="s">
        <v>270</v>
      </c>
      <c r="C104" s="11" t="s">
        <v>151</v>
      </c>
      <c r="E104" s="12">
        <v>683388.29</v>
      </c>
      <c r="F104" s="12"/>
      <c r="G104" s="12">
        <v>167922.25</v>
      </c>
      <c r="H104" s="12"/>
      <c r="I104" s="12">
        <v>215688.95</v>
      </c>
      <c r="J104" s="12"/>
      <c r="K104" s="12">
        <v>228050.97</v>
      </c>
      <c r="L104" s="12"/>
      <c r="M104" s="12">
        <v>24764.38</v>
      </c>
      <c r="N104" s="12"/>
      <c r="O104" s="12">
        <v>10042.39</v>
      </c>
      <c r="P104" s="12"/>
      <c r="Q104" s="12">
        <v>49474.53</v>
      </c>
      <c r="R104" s="12"/>
      <c r="S104" s="12">
        <v>0</v>
      </c>
      <c r="T104" s="12"/>
      <c r="U104" s="12">
        <v>0</v>
      </c>
      <c r="V104" s="12"/>
      <c r="W104" s="12">
        <v>255.84</v>
      </c>
      <c r="X104" s="12"/>
      <c r="Y104" s="12">
        <v>0</v>
      </c>
      <c r="Z104" s="12"/>
      <c r="AA104" s="12">
        <v>0</v>
      </c>
      <c r="AB104" s="12"/>
      <c r="AC104" s="12">
        <f t="shared" si="1"/>
        <v>1379587.5999999999</v>
      </c>
    </row>
    <row r="105" spans="1:29" s="11" customFormat="1" ht="12">
      <c r="A105" s="11" t="s">
        <v>271</v>
      </c>
      <c r="C105" s="11" t="s">
        <v>153</v>
      </c>
      <c r="E105" s="12">
        <v>56687</v>
      </c>
      <c r="F105" s="12"/>
      <c r="G105" s="12">
        <v>7822</v>
      </c>
      <c r="H105" s="12"/>
      <c r="I105" s="12">
        <v>0</v>
      </c>
      <c r="J105" s="12"/>
      <c r="K105" s="12">
        <v>26035</v>
      </c>
      <c r="L105" s="12"/>
      <c r="M105" s="12">
        <v>18584</v>
      </c>
      <c r="N105" s="12"/>
      <c r="O105" s="12">
        <v>34040</v>
      </c>
      <c r="P105" s="12"/>
      <c r="Q105" s="12">
        <v>0</v>
      </c>
      <c r="R105" s="12"/>
      <c r="S105" s="12">
        <v>0</v>
      </c>
      <c r="T105" s="12"/>
      <c r="U105" s="12">
        <v>0</v>
      </c>
      <c r="V105" s="12"/>
      <c r="W105" s="12">
        <v>0</v>
      </c>
      <c r="X105" s="12"/>
      <c r="Y105" s="12">
        <v>0</v>
      </c>
      <c r="Z105" s="12"/>
      <c r="AA105" s="12">
        <v>0</v>
      </c>
      <c r="AB105" s="12"/>
      <c r="AC105" s="12">
        <f t="shared" si="1"/>
        <v>143168</v>
      </c>
    </row>
    <row r="106" spans="1:29" s="11" customFormat="1" ht="12">
      <c r="A106" s="11" t="s">
        <v>459</v>
      </c>
      <c r="C106" s="11" t="s">
        <v>273</v>
      </c>
      <c r="E106" s="12">
        <v>658669.45</v>
      </c>
      <c r="F106" s="12"/>
      <c r="G106" s="12">
        <v>154830.95</v>
      </c>
      <c r="H106" s="12"/>
      <c r="I106" s="12">
        <v>191303.85</v>
      </c>
      <c r="J106" s="12"/>
      <c r="K106" s="12">
        <v>199706.3</v>
      </c>
      <c r="L106" s="12"/>
      <c r="M106" s="12">
        <v>33699.48</v>
      </c>
      <c r="N106" s="12"/>
      <c r="O106" s="12">
        <v>9427.62</v>
      </c>
      <c r="P106" s="12"/>
      <c r="Q106" s="12">
        <v>10628.09</v>
      </c>
      <c r="R106" s="12"/>
      <c r="S106" s="12">
        <v>0</v>
      </c>
      <c r="T106" s="12"/>
      <c r="U106" s="12">
        <v>0</v>
      </c>
      <c r="V106" s="12"/>
      <c r="W106" s="12">
        <v>50000</v>
      </c>
      <c r="X106" s="12"/>
      <c r="Y106" s="12">
        <v>0</v>
      </c>
      <c r="Z106" s="12"/>
      <c r="AA106" s="12">
        <v>0</v>
      </c>
      <c r="AB106" s="12"/>
      <c r="AC106" s="12">
        <f t="shared" si="1"/>
        <v>1308265.74</v>
      </c>
    </row>
    <row r="107" spans="1:29" s="11" customFormat="1" ht="12">
      <c r="A107" s="11" t="s">
        <v>460</v>
      </c>
      <c r="C107" s="11" t="s">
        <v>134</v>
      </c>
      <c r="E107" s="12">
        <v>122725.67</v>
      </c>
      <c r="F107" s="12"/>
      <c r="G107" s="12">
        <v>29251.14</v>
      </c>
      <c r="H107" s="12"/>
      <c r="I107" s="12">
        <v>27027.72</v>
      </c>
      <c r="J107" s="12"/>
      <c r="K107" s="12">
        <v>33960.9</v>
      </c>
      <c r="L107" s="12"/>
      <c r="M107" s="12">
        <v>4583.11</v>
      </c>
      <c r="N107" s="12"/>
      <c r="O107" s="12">
        <v>690</v>
      </c>
      <c r="P107" s="12"/>
      <c r="Q107" s="12">
        <v>2412.74</v>
      </c>
      <c r="R107" s="12"/>
      <c r="S107" s="12">
        <v>0</v>
      </c>
      <c r="T107" s="12"/>
      <c r="U107" s="12">
        <v>0</v>
      </c>
      <c r="V107" s="12"/>
      <c r="W107" s="12">
        <v>0</v>
      </c>
      <c r="X107" s="12"/>
      <c r="Y107" s="12">
        <v>0</v>
      </c>
      <c r="Z107" s="12"/>
      <c r="AA107" s="12">
        <v>0</v>
      </c>
      <c r="AB107" s="12"/>
      <c r="AC107" s="12">
        <f t="shared" si="1"/>
        <v>220651.27999999997</v>
      </c>
    </row>
    <row r="108" spans="1:29" s="11" customFormat="1" ht="12">
      <c r="A108" s="11" t="s">
        <v>275</v>
      </c>
      <c r="C108" s="11" t="s">
        <v>149</v>
      </c>
      <c r="E108" s="12">
        <v>455422.9</v>
      </c>
      <c r="F108" s="12"/>
      <c r="G108" s="12">
        <v>156304.07</v>
      </c>
      <c r="H108" s="12"/>
      <c r="I108" s="12">
        <v>77941.24</v>
      </c>
      <c r="J108" s="12"/>
      <c r="K108" s="12">
        <v>129982.06</v>
      </c>
      <c r="L108" s="12"/>
      <c r="M108" s="12">
        <v>27441.18</v>
      </c>
      <c r="N108" s="12"/>
      <c r="O108" s="12">
        <v>2394</v>
      </c>
      <c r="P108" s="12"/>
      <c r="Q108" s="12">
        <v>1549.44</v>
      </c>
      <c r="R108" s="12"/>
      <c r="S108" s="12">
        <v>0</v>
      </c>
      <c r="T108" s="12"/>
      <c r="U108" s="12">
        <v>0</v>
      </c>
      <c r="V108" s="12"/>
      <c r="W108" s="12">
        <v>20000</v>
      </c>
      <c r="X108" s="12"/>
      <c r="Y108" s="12">
        <v>0</v>
      </c>
      <c r="Z108" s="12"/>
      <c r="AA108" s="12">
        <v>0</v>
      </c>
      <c r="AB108" s="12"/>
      <c r="AC108" s="12">
        <f t="shared" si="1"/>
        <v>871034.89</v>
      </c>
    </row>
    <row r="109" spans="1:29" s="11" customFormat="1" ht="12">
      <c r="A109" s="11" t="s">
        <v>493</v>
      </c>
      <c r="C109" s="11" t="s">
        <v>113</v>
      </c>
      <c r="E109" s="12">
        <v>1001910</v>
      </c>
      <c r="G109" s="12">
        <v>243213</v>
      </c>
      <c r="I109" s="12">
        <v>336281</v>
      </c>
      <c r="K109" s="12">
        <v>262986</v>
      </c>
      <c r="M109" s="12">
        <v>41601</v>
      </c>
      <c r="O109" s="12">
        <v>2856</v>
      </c>
      <c r="Q109" s="12">
        <v>52682</v>
      </c>
      <c r="S109" s="12">
        <v>0</v>
      </c>
      <c r="U109" s="12">
        <v>0</v>
      </c>
      <c r="W109" s="12">
        <v>0</v>
      </c>
      <c r="Y109" s="12">
        <v>0</v>
      </c>
      <c r="AA109" s="12">
        <v>0</v>
      </c>
      <c r="AB109" s="12"/>
      <c r="AC109" s="12">
        <f t="shared" si="1"/>
        <v>1941529</v>
      </c>
    </row>
    <row r="110" spans="1:29" s="11" customFormat="1" ht="12">
      <c r="A110" s="11" t="s">
        <v>277</v>
      </c>
      <c r="C110" s="11" t="s">
        <v>278</v>
      </c>
      <c r="E110" s="12">
        <v>392406</v>
      </c>
      <c r="G110" s="12">
        <v>117688</v>
      </c>
      <c r="I110" s="12">
        <v>190160</v>
      </c>
      <c r="K110" s="12">
        <v>55396</v>
      </c>
      <c r="M110" s="12">
        <v>17387</v>
      </c>
      <c r="O110" s="12">
        <v>4961</v>
      </c>
      <c r="Q110" s="12">
        <v>0</v>
      </c>
      <c r="S110" s="12">
        <v>0</v>
      </c>
      <c r="U110" s="12">
        <v>0</v>
      </c>
      <c r="W110" s="12">
        <v>0</v>
      </c>
      <c r="Y110" s="12">
        <v>0</v>
      </c>
      <c r="AA110" s="12">
        <v>0</v>
      </c>
      <c r="AB110" s="12"/>
      <c r="AC110" s="12">
        <f t="shared" si="1"/>
        <v>777998</v>
      </c>
    </row>
    <row r="111" spans="1:29" s="11" customFormat="1" ht="12">
      <c r="A111" s="11" t="s">
        <v>130</v>
      </c>
      <c r="C111" s="11" t="s">
        <v>103</v>
      </c>
      <c r="E111" s="12">
        <v>213954.59</v>
      </c>
      <c r="F111" s="12"/>
      <c r="G111" s="12">
        <v>34749.74</v>
      </c>
      <c r="H111" s="12"/>
      <c r="I111" s="12">
        <v>45354.52</v>
      </c>
      <c r="J111" s="12"/>
      <c r="K111" s="12">
        <v>68637.51</v>
      </c>
      <c r="L111" s="12"/>
      <c r="M111" s="12">
        <v>9327.21</v>
      </c>
      <c r="N111" s="12"/>
      <c r="O111" s="12">
        <v>1790.05</v>
      </c>
      <c r="P111" s="12"/>
      <c r="Q111" s="12">
        <v>1351.82</v>
      </c>
      <c r="R111" s="12"/>
      <c r="S111" s="12">
        <v>25000</v>
      </c>
      <c r="T111" s="12"/>
      <c r="U111" s="12">
        <v>56561.25</v>
      </c>
      <c r="V111" s="12"/>
      <c r="W111" s="12">
        <v>0</v>
      </c>
      <c r="X111" s="12"/>
      <c r="Y111" s="12">
        <v>0</v>
      </c>
      <c r="Z111" s="12"/>
      <c r="AA111" s="12">
        <v>85.87</v>
      </c>
      <c r="AB111" s="12"/>
      <c r="AC111" s="12">
        <f t="shared" si="1"/>
        <v>456812.56</v>
      </c>
    </row>
    <row r="112" spans="1:29" s="11" customFormat="1" ht="12">
      <c r="A112" s="11" t="s">
        <v>279</v>
      </c>
      <c r="C112" s="11" t="s">
        <v>266</v>
      </c>
      <c r="E112" s="12">
        <v>434990</v>
      </c>
      <c r="G112" s="12">
        <v>92503</v>
      </c>
      <c r="I112" s="12">
        <v>89164</v>
      </c>
      <c r="K112" s="12">
        <v>175319</v>
      </c>
      <c r="M112" s="12">
        <v>16603</v>
      </c>
      <c r="O112" s="12">
        <v>6595</v>
      </c>
      <c r="Q112" s="12">
        <v>48308</v>
      </c>
      <c r="S112" s="12">
        <v>0</v>
      </c>
      <c r="U112" s="12">
        <v>0</v>
      </c>
      <c r="W112" s="12">
        <v>0</v>
      </c>
      <c r="Y112" s="12">
        <v>0</v>
      </c>
      <c r="AA112" s="12">
        <v>0</v>
      </c>
      <c r="AB112" s="12"/>
      <c r="AC112" s="12">
        <f t="shared" si="1"/>
        <v>863482</v>
      </c>
    </row>
    <row r="113" spans="1:29" s="11" customFormat="1" ht="12">
      <c r="A113" s="11" t="s">
        <v>280</v>
      </c>
      <c r="C113" s="11" t="s">
        <v>146</v>
      </c>
      <c r="E113" s="12">
        <v>135562.12</v>
      </c>
      <c r="F113" s="12"/>
      <c r="G113" s="12">
        <v>20247.49</v>
      </c>
      <c r="H113" s="12"/>
      <c r="I113" s="12">
        <v>31168.7</v>
      </c>
      <c r="J113" s="12"/>
      <c r="K113" s="12">
        <v>40780.52</v>
      </c>
      <c r="L113" s="12"/>
      <c r="M113" s="12">
        <v>2875.01</v>
      </c>
      <c r="N113" s="12"/>
      <c r="O113" s="12">
        <v>857</v>
      </c>
      <c r="P113" s="12"/>
      <c r="Q113" s="12">
        <v>13070.19</v>
      </c>
      <c r="R113" s="12"/>
      <c r="S113" s="12">
        <v>0</v>
      </c>
      <c r="T113" s="12"/>
      <c r="U113" s="12">
        <v>0</v>
      </c>
      <c r="V113" s="12"/>
      <c r="W113" s="12">
        <v>0</v>
      </c>
      <c r="X113" s="12"/>
      <c r="Y113" s="12">
        <v>0</v>
      </c>
      <c r="Z113" s="12"/>
      <c r="AA113" s="12">
        <v>0</v>
      </c>
      <c r="AB113" s="12"/>
      <c r="AC113" s="12">
        <f t="shared" si="1"/>
        <v>244561.03</v>
      </c>
    </row>
    <row r="114" spans="1:29" s="11" customFormat="1" ht="12">
      <c r="A114" s="11" t="s">
        <v>281</v>
      </c>
      <c r="C114" s="11" t="s">
        <v>282</v>
      </c>
      <c r="E114" s="12">
        <v>258513.9</v>
      </c>
      <c r="F114" s="12"/>
      <c r="G114" s="12">
        <v>126228.71</v>
      </c>
      <c r="H114" s="12"/>
      <c r="I114" s="12">
        <v>62268.12</v>
      </c>
      <c r="J114" s="12"/>
      <c r="K114" s="12">
        <v>63384.3</v>
      </c>
      <c r="L114" s="12"/>
      <c r="M114" s="12">
        <v>14738.67</v>
      </c>
      <c r="N114" s="12"/>
      <c r="O114" s="12">
        <v>1286</v>
      </c>
      <c r="P114" s="12"/>
      <c r="Q114" s="12">
        <v>17065.85</v>
      </c>
      <c r="R114" s="12"/>
      <c r="S114" s="12">
        <v>0</v>
      </c>
      <c r="T114" s="12"/>
      <c r="U114" s="12">
        <v>0</v>
      </c>
      <c r="V114" s="12"/>
      <c r="W114" s="12">
        <v>0</v>
      </c>
      <c r="X114" s="12"/>
      <c r="Y114" s="12">
        <v>0</v>
      </c>
      <c r="Z114" s="12"/>
      <c r="AA114" s="12">
        <v>0</v>
      </c>
      <c r="AB114" s="12"/>
      <c r="AC114" s="12">
        <f t="shared" si="1"/>
        <v>543485.5499999999</v>
      </c>
    </row>
    <row r="115" spans="1:29" s="11" customFormat="1" ht="12">
      <c r="A115" s="11" t="s">
        <v>494</v>
      </c>
      <c r="C115" s="11" t="s">
        <v>152</v>
      </c>
      <c r="E115" s="12">
        <v>246668.32</v>
      </c>
      <c r="F115" s="12"/>
      <c r="G115" s="12">
        <v>71939.52</v>
      </c>
      <c r="H115" s="12"/>
      <c r="I115" s="12">
        <v>100919.96</v>
      </c>
      <c r="J115" s="12"/>
      <c r="K115" s="12">
        <v>108077.37</v>
      </c>
      <c r="L115" s="12"/>
      <c r="M115" s="12">
        <v>24141.66</v>
      </c>
      <c r="N115" s="12"/>
      <c r="O115" s="12">
        <v>5472.48</v>
      </c>
      <c r="P115" s="12"/>
      <c r="Q115" s="12">
        <v>30027.09</v>
      </c>
      <c r="R115" s="12"/>
      <c r="S115" s="12">
        <v>0</v>
      </c>
      <c r="T115" s="12"/>
      <c r="U115" s="12">
        <v>0</v>
      </c>
      <c r="V115" s="12"/>
      <c r="W115" s="12">
        <v>0</v>
      </c>
      <c r="X115" s="12"/>
      <c r="Y115" s="12">
        <v>0</v>
      </c>
      <c r="Z115" s="12"/>
      <c r="AA115" s="12">
        <v>0</v>
      </c>
      <c r="AB115" s="12"/>
      <c r="AC115" s="12">
        <f t="shared" si="1"/>
        <v>587246.4</v>
      </c>
    </row>
    <row r="116" spans="1:29" s="11" customFormat="1" ht="12">
      <c r="A116" s="11" t="s">
        <v>284</v>
      </c>
      <c r="C116" s="11" t="s">
        <v>138</v>
      </c>
      <c r="E116" s="12">
        <v>587049</v>
      </c>
      <c r="G116" s="12">
        <v>0</v>
      </c>
      <c r="I116" s="12">
        <v>81139</v>
      </c>
      <c r="K116" s="12">
        <v>166501</v>
      </c>
      <c r="M116" s="12">
        <v>18896</v>
      </c>
      <c r="O116" s="12">
        <v>14828</v>
      </c>
      <c r="Q116" s="12">
        <v>5396</v>
      </c>
      <c r="S116" s="12">
        <v>0</v>
      </c>
      <c r="U116" s="12">
        <v>0</v>
      </c>
      <c r="W116" s="12">
        <v>0</v>
      </c>
      <c r="Y116" s="12">
        <v>0</v>
      </c>
      <c r="AA116" s="12">
        <v>0</v>
      </c>
      <c r="AB116" s="12"/>
      <c r="AC116" s="12">
        <f t="shared" si="1"/>
        <v>873809</v>
      </c>
    </row>
    <row r="117" spans="1:29" s="11" customFormat="1" ht="12">
      <c r="A117" s="11" t="s">
        <v>285</v>
      </c>
      <c r="C117" s="11" t="s">
        <v>286</v>
      </c>
      <c r="E117" s="12">
        <v>686549.33</v>
      </c>
      <c r="F117" s="12"/>
      <c r="G117" s="12">
        <v>129329.42</v>
      </c>
      <c r="H117" s="12"/>
      <c r="I117" s="12">
        <v>270933.54</v>
      </c>
      <c r="J117" s="12"/>
      <c r="K117" s="12">
        <v>338648.28</v>
      </c>
      <c r="L117" s="12"/>
      <c r="M117" s="12">
        <v>84197.91</v>
      </c>
      <c r="N117" s="12"/>
      <c r="O117" s="12">
        <v>16875.16</v>
      </c>
      <c r="P117" s="12"/>
      <c r="Q117" s="12">
        <v>59541.37</v>
      </c>
      <c r="R117" s="12"/>
      <c r="S117" s="12">
        <v>0</v>
      </c>
      <c r="T117" s="12"/>
      <c r="U117" s="12">
        <v>0</v>
      </c>
      <c r="V117" s="12"/>
      <c r="W117" s="12">
        <v>22338.52</v>
      </c>
      <c r="X117" s="12"/>
      <c r="Y117" s="12">
        <v>0</v>
      </c>
      <c r="Z117" s="12"/>
      <c r="AA117" s="12">
        <v>0</v>
      </c>
      <c r="AB117" s="12"/>
      <c r="AC117" s="12">
        <f t="shared" si="1"/>
        <v>1608413.53</v>
      </c>
    </row>
    <row r="118" spans="1:29" s="11" customFormat="1" ht="12">
      <c r="A118" s="11" t="s">
        <v>287</v>
      </c>
      <c r="C118" s="11" t="s">
        <v>136</v>
      </c>
      <c r="E118" s="12">
        <v>190532.04</v>
      </c>
      <c r="F118" s="12"/>
      <c r="G118" s="12">
        <v>30068.53</v>
      </c>
      <c r="H118" s="12"/>
      <c r="I118" s="12">
        <v>50421.51</v>
      </c>
      <c r="J118" s="12"/>
      <c r="K118" s="12">
        <v>65912.96</v>
      </c>
      <c r="L118" s="12"/>
      <c r="M118" s="12">
        <v>16910.21</v>
      </c>
      <c r="N118" s="12"/>
      <c r="O118" s="12">
        <v>5573.26</v>
      </c>
      <c r="P118" s="12"/>
      <c r="Q118" s="12">
        <v>20271.45</v>
      </c>
      <c r="R118" s="12"/>
      <c r="S118" s="12">
        <v>0</v>
      </c>
      <c r="T118" s="12"/>
      <c r="U118" s="12">
        <v>0</v>
      </c>
      <c r="V118" s="12"/>
      <c r="W118" s="12">
        <v>0</v>
      </c>
      <c r="X118" s="12"/>
      <c r="Y118" s="12">
        <v>0</v>
      </c>
      <c r="Z118" s="12"/>
      <c r="AA118" s="12">
        <v>0</v>
      </c>
      <c r="AB118" s="12"/>
      <c r="AC118" s="12">
        <f t="shared" si="1"/>
        <v>379689.9600000001</v>
      </c>
    </row>
    <row r="119" spans="1:29" s="11" customFormat="1" ht="12">
      <c r="A119" s="11" t="s">
        <v>288</v>
      </c>
      <c r="C119" s="11" t="s">
        <v>149</v>
      </c>
      <c r="E119" s="12">
        <v>289935.13</v>
      </c>
      <c r="F119" s="12"/>
      <c r="G119" s="12">
        <v>91488.39</v>
      </c>
      <c r="H119" s="12"/>
      <c r="I119" s="12">
        <v>72645.69</v>
      </c>
      <c r="J119" s="12"/>
      <c r="K119" s="12">
        <v>100774.36</v>
      </c>
      <c r="L119" s="12"/>
      <c r="M119" s="12">
        <v>17240.65</v>
      </c>
      <c r="N119" s="12"/>
      <c r="O119" s="12">
        <v>2490</v>
      </c>
      <c r="P119" s="12"/>
      <c r="Q119" s="12">
        <v>23865.89</v>
      </c>
      <c r="R119" s="12"/>
      <c r="S119" s="12">
        <v>0</v>
      </c>
      <c r="T119" s="12"/>
      <c r="U119" s="12">
        <v>0</v>
      </c>
      <c r="V119" s="12"/>
      <c r="W119" s="12">
        <v>0</v>
      </c>
      <c r="X119" s="12"/>
      <c r="Y119" s="12">
        <v>0</v>
      </c>
      <c r="Z119" s="12"/>
      <c r="AA119" s="12">
        <v>0</v>
      </c>
      <c r="AB119" s="12"/>
      <c r="AC119" s="12">
        <f t="shared" si="1"/>
        <v>598440.1100000001</v>
      </c>
    </row>
    <row r="120" spans="1:29" s="11" customFormat="1" ht="12">
      <c r="A120" s="11" t="s">
        <v>289</v>
      </c>
      <c r="C120" s="11" t="s">
        <v>106</v>
      </c>
      <c r="E120" s="12">
        <v>342718.58</v>
      </c>
      <c r="F120" s="12"/>
      <c r="G120" s="12">
        <v>70857.15</v>
      </c>
      <c r="H120" s="12"/>
      <c r="I120" s="12">
        <v>111355.52</v>
      </c>
      <c r="J120" s="12"/>
      <c r="K120" s="12">
        <v>63803.2</v>
      </c>
      <c r="L120" s="12"/>
      <c r="M120" s="12">
        <v>8050.35</v>
      </c>
      <c r="N120" s="12"/>
      <c r="O120" s="12">
        <v>2627.48</v>
      </c>
      <c r="P120" s="12"/>
      <c r="Q120" s="12">
        <v>1650.67</v>
      </c>
      <c r="R120" s="12"/>
      <c r="S120" s="12">
        <v>0</v>
      </c>
      <c r="T120" s="12"/>
      <c r="U120" s="12">
        <v>0</v>
      </c>
      <c r="V120" s="12"/>
      <c r="W120" s="12">
        <v>0</v>
      </c>
      <c r="X120" s="12"/>
      <c r="Y120" s="12">
        <v>0</v>
      </c>
      <c r="Z120" s="12"/>
      <c r="AA120" s="12">
        <v>0</v>
      </c>
      <c r="AB120" s="12"/>
      <c r="AC120" s="12">
        <f t="shared" si="1"/>
        <v>601062.95</v>
      </c>
    </row>
    <row r="121" spans="1:29" s="11" customFormat="1" ht="12">
      <c r="A121" s="11" t="s">
        <v>100</v>
      </c>
      <c r="C121" s="11" t="s">
        <v>101</v>
      </c>
      <c r="E121" s="12">
        <v>0</v>
      </c>
      <c r="G121" s="12">
        <v>0</v>
      </c>
      <c r="I121" s="12">
        <f>541090+204983+744224+74169</f>
        <v>1564466</v>
      </c>
      <c r="K121" s="12">
        <f>2940088+1538534</f>
        <v>4478622</v>
      </c>
      <c r="M121" s="12">
        <v>0</v>
      </c>
      <c r="O121" s="12">
        <v>0</v>
      </c>
      <c r="Q121" s="12">
        <v>0</v>
      </c>
      <c r="S121" s="12">
        <v>0</v>
      </c>
      <c r="U121" s="12">
        <v>0</v>
      </c>
      <c r="W121" s="12">
        <v>0</v>
      </c>
      <c r="Y121" s="12">
        <v>0</v>
      </c>
      <c r="AA121" s="12">
        <v>0</v>
      </c>
      <c r="AB121" s="12"/>
      <c r="AC121" s="12">
        <f t="shared" si="1"/>
        <v>6043088</v>
      </c>
    </row>
    <row r="122" spans="1:29" s="11" customFormat="1" ht="12">
      <c r="A122" s="11" t="s">
        <v>290</v>
      </c>
      <c r="C122" s="11" t="s">
        <v>147</v>
      </c>
      <c r="E122" s="12">
        <v>406539.65</v>
      </c>
      <c r="F122" s="12"/>
      <c r="G122" s="12">
        <v>392643.64</v>
      </c>
      <c r="H122" s="12"/>
      <c r="I122" s="12">
        <v>124729.16</v>
      </c>
      <c r="J122" s="12"/>
      <c r="K122" s="12">
        <v>316246.04</v>
      </c>
      <c r="L122" s="12"/>
      <c r="M122" s="12">
        <v>40871.09</v>
      </c>
      <c r="N122" s="12"/>
      <c r="O122" s="12">
        <v>12875.56</v>
      </c>
      <c r="P122" s="12"/>
      <c r="Q122" s="12">
        <v>22424</v>
      </c>
      <c r="R122" s="12"/>
      <c r="S122" s="12">
        <v>0</v>
      </c>
      <c r="T122" s="12"/>
      <c r="U122" s="12">
        <v>0</v>
      </c>
      <c r="V122" s="12"/>
      <c r="W122" s="12">
        <v>0</v>
      </c>
      <c r="X122" s="12"/>
      <c r="Y122" s="12">
        <v>0</v>
      </c>
      <c r="Z122" s="12"/>
      <c r="AA122" s="12">
        <v>0</v>
      </c>
      <c r="AB122" s="12"/>
      <c r="AC122" s="12">
        <f t="shared" si="1"/>
        <v>1316329.1400000001</v>
      </c>
    </row>
    <row r="123" spans="1:29" s="11" customFormat="1" ht="12">
      <c r="A123" s="11" t="s">
        <v>291</v>
      </c>
      <c r="C123" s="11" t="s">
        <v>144</v>
      </c>
      <c r="E123" s="12">
        <v>97282.35</v>
      </c>
      <c r="F123" s="12"/>
      <c r="G123" s="12">
        <v>29284.33</v>
      </c>
      <c r="H123" s="12"/>
      <c r="I123" s="12">
        <v>36687.88</v>
      </c>
      <c r="J123" s="12"/>
      <c r="K123" s="12">
        <v>46487.87</v>
      </c>
      <c r="L123" s="12"/>
      <c r="M123" s="12">
        <v>6060.74</v>
      </c>
      <c r="N123" s="12"/>
      <c r="O123" s="12">
        <v>3097.36</v>
      </c>
      <c r="P123" s="12"/>
      <c r="Q123" s="12">
        <v>868.12</v>
      </c>
      <c r="R123" s="12"/>
      <c r="S123" s="12">
        <v>0</v>
      </c>
      <c r="T123" s="12"/>
      <c r="U123" s="12">
        <v>0</v>
      </c>
      <c r="V123" s="12"/>
      <c r="W123" s="12">
        <v>0</v>
      </c>
      <c r="X123" s="12"/>
      <c r="Y123" s="12">
        <v>0</v>
      </c>
      <c r="Z123" s="12"/>
      <c r="AA123" s="12">
        <v>0</v>
      </c>
      <c r="AB123" s="12"/>
      <c r="AC123" s="12">
        <f t="shared" si="1"/>
        <v>219768.64999999997</v>
      </c>
    </row>
    <row r="124" spans="1:29" s="11" customFormat="1" ht="12">
      <c r="A124" s="11" t="s">
        <v>292</v>
      </c>
      <c r="C124" s="11" t="s">
        <v>144</v>
      </c>
      <c r="E124" s="12">
        <v>257236.99</v>
      </c>
      <c r="F124" s="12"/>
      <c r="G124" s="12">
        <v>95276.65</v>
      </c>
      <c r="H124" s="12"/>
      <c r="I124" s="12">
        <v>59072.29</v>
      </c>
      <c r="J124" s="12"/>
      <c r="K124" s="12">
        <v>90071.73</v>
      </c>
      <c r="L124" s="12"/>
      <c r="M124" s="12">
        <v>31843.69</v>
      </c>
      <c r="N124" s="12"/>
      <c r="O124" s="12">
        <v>4902.94</v>
      </c>
      <c r="P124" s="12"/>
      <c r="Q124" s="12">
        <v>27603.39</v>
      </c>
      <c r="R124" s="12"/>
      <c r="S124" s="12">
        <v>0</v>
      </c>
      <c r="T124" s="12"/>
      <c r="U124" s="12">
        <v>0</v>
      </c>
      <c r="V124" s="12"/>
      <c r="W124" s="12">
        <v>0</v>
      </c>
      <c r="X124" s="12"/>
      <c r="Y124" s="12">
        <v>0</v>
      </c>
      <c r="Z124" s="12"/>
      <c r="AA124" s="12">
        <v>0</v>
      </c>
      <c r="AB124" s="12"/>
      <c r="AC124" s="12">
        <f t="shared" si="1"/>
        <v>566007.6799999999</v>
      </c>
    </row>
    <row r="125" spans="1:29" s="11" customFormat="1" ht="12">
      <c r="A125" s="11" t="s">
        <v>293</v>
      </c>
      <c r="C125" s="11" t="s">
        <v>153</v>
      </c>
      <c r="E125" s="12">
        <v>74213.13</v>
      </c>
      <c r="F125" s="12"/>
      <c r="G125" s="12">
        <v>26825.91</v>
      </c>
      <c r="H125" s="12"/>
      <c r="I125" s="12">
        <v>42421.47</v>
      </c>
      <c r="J125" s="12"/>
      <c r="K125" s="12">
        <v>29346.71</v>
      </c>
      <c r="L125" s="12"/>
      <c r="M125" s="12">
        <v>4145.99</v>
      </c>
      <c r="N125" s="12"/>
      <c r="O125" s="12">
        <v>2930</v>
      </c>
      <c r="P125" s="12"/>
      <c r="Q125" s="12">
        <v>901.55</v>
      </c>
      <c r="R125" s="12"/>
      <c r="S125" s="12">
        <v>12176.36</v>
      </c>
      <c r="T125" s="12"/>
      <c r="U125" s="12">
        <v>10571.08</v>
      </c>
      <c r="V125" s="12"/>
      <c r="W125" s="12">
        <v>0</v>
      </c>
      <c r="X125" s="12"/>
      <c r="Y125" s="12">
        <v>0</v>
      </c>
      <c r="Z125" s="12"/>
      <c r="AA125" s="12">
        <v>0</v>
      </c>
      <c r="AB125" s="12"/>
      <c r="AC125" s="12">
        <f t="shared" si="1"/>
        <v>203532.19999999998</v>
      </c>
    </row>
    <row r="126" spans="1:29" s="11" customFormat="1" ht="12">
      <c r="A126" s="11" t="s">
        <v>294</v>
      </c>
      <c r="C126" s="11" t="s">
        <v>194</v>
      </c>
      <c r="E126" s="12">
        <v>0</v>
      </c>
      <c r="G126" s="12">
        <v>0</v>
      </c>
      <c r="I126" s="12">
        <f>528116+165754+2391925</f>
        <v>3085795</v>
      </c>
      <c r="K126" s="12">
        <f>229315+621801</f>
        <v>851116</v>
      </c>
      <c r="M126" s="12">
        <v>0</v>
      </c>
      <c r="O126" s="12">
        <v>0</v>
      </c>
      <c r="Q126" s="12">
        <v>0</v>
      </c>
      <c r="S126" s="12">
        <v>308973</v>
      </c>
      <c r="U126" s="12">
        <v>4200</v>
      </c>
      <c r="W126" s="12">
        <v>0</v>
      </c>
      <c r="Y126" s="12">
        <v>0</v>
      </c>
      <c r="AA126" s="12">
        <v>26</v>
      </c>
      <c r="AB126" s="12"/>
      <c r="AC126" s="12">
        <f t="shared" si="1"/>
        <v>4250110</v>
      </c>
    </row>
    <row r="127" spans="1:29" s="11" customFormat="1" ht="12">
      <c r="A127" s="11" t="s">
        <v>295</v>
      </c>
      <c r="C127" s="11" t="s">
        <v>183</v>
      </c>
      <c r="E127" s="12">
        <v>862340</v>
      </c>
      <c r="G127" s="12">
        <v>99292</v>
      </c>
      <c r="I127" s="12">
        <v>225758</v>
      </c>
      <c r="K127" s="12">
        <v>238562</v>
      </c>
      <c r="M127" s="12">
        <v>68135</v>
      </c>
      <c r="O127" s="12">
        <v>6625</v>
      </c>
      <c r="Q127" s="12">
        <v>113968</v>
      </c>
      <c r="S127" s="12">
        <v>0</v>
      </c>
      <c r="U127" s="12">
        <v>0</v>
      </c>
      <c r="W127" s="12">
        <v>0</v>
      </c>
      <c r="Y127" s="12">
        <v>0</v>
      </c>
      <c r="AA127" s="12">
        <v>0</v>
      </c>
      <c r="AB127" s="12"/>
      <c r="AC127" s="12">
        <f t="shared" si="1"/>
        <v>1614680</v>
      </c>
    </row>
    <row r="128" spans="1:29" s="11" customFormat="1" ht="12">
      <c r="A128" s="11" t="s">
        <v>296</v>
      </c>
      <c r="C128" s="11" t="s">
        <v>297</v>
      </c>
      <c r="E128" s="12">
        <v>286164</v>
      </c>
      <c r="G128" s="12">
        <v>106277</v>
      </c>
      <c r="I128" s="12">
        <v>93417</v>
      </c>
      <c r="K128" s="12">
        <v>188174</v>
      </c>
      <c r="M128" s="12">
        <v>30341</v>
      </c>
      <c r="O128" s="12">
        <v>3891</v>
      </c>
      <c r="Q128" s="12">
        <v>94944</v>
      </c>
      <c r="S128" s="12">
        <v>0</v>
      </c>
      <c r="U128" s="12">
        <v>0</v>
      </c>
      <c r="W128" s="12">
        <v>0</v>
      </c>
      <c r="Y128" s="12">
        <v>0</v>
      </c>
      <c r="AA128" s="12">
        <v>0</v>
      </c>
      <c r="AB128" s="12"/>
      <c r="AC128" s="12">
        <f t="shared" si="1"/>
        <v>803208</v>
      </c>
    </row>
    <row r="129" spans="1:29" s="11" customFormat="1" ht="12">
      <c r="A129" s="11" t="s">
        <v>102</v>
      </c>
      <c r="C129" s="11" t="s">
        <v>103</v>
      </c>
      <c r="E129" s="12">
        <v>0</v>
      </c>
      <c r="G129" s="12">
        <v>0</v>
      </c>
      <c r="I129" s="12">
        <v>805265</v>
      </c>
      <c r="K129" s="12">
        <v>0</v>
      </c>
      <c r="M129" s="12">
        <v>0</v>
      </c>
      <c r="O129" s="12">
        <v>0</v>
      </c>
      <c r="Q129" s="12">
        <v>0</v>
      </c>
      <c r="S129" s="12">
        <v>0</v>
      </c>
      <c r="U129" s="12">
        <v>0</v>
      </c>
      <c r="W129" s="12">
        <v>152300</v>
      </c>
      <c r="Y129" s="12">
        <v>0</v>
      </c>
      <c r="AA129" s="12">
        <v>0</v>
      </c>
      <c r="AB129" s="12"/>
      <c r="AC129" s="12">
        <f t="shared" si="1"/>
        <v>957565</v>
      </c>
    </row>
    <row r="130" spans="1:29" s="11" customFormat="1" ht="12">
      <c r="A130" s="11" t="s">
        <v>298</v>
      </c>
      <c r="C130" s="11" t="s">
        <v>150</v>
      </c>
      <c r="E130" s="12">
        <v>3675213</v>
      </c>
      <c r="G130" s="12">
        <v>984106</v>
      </c>
      <c r="I130" s="12">
        <v>1161739</v>
      </c>
      <c r="K130" s="12">
        <v>1271572</v>
      </c>
      <c r="M130" s="12">
        <v>175645</v>
      </c>
      <c r="O130" s="12">
        <v>18629</v>
      </c>
      <c r="Q130" s="12">
        <v>189399</v>
      </c>
      <c r="S130" s="12">
        <v>0</v>
      </c>
      <c r="U130" s="12">
        <v>0</v>
      </c>
      <c r="W130" s="12">
        <v>1064038</v>
      </c>
      <c r="Y130" s="12">
        <v>0</v>
      </c>
      <c r="AA130" s="12">
        <v>0</v>
      </c>
      <c r="AB130" s="12"/>
      <c r="AC130" s="12">
        <f t="shared" si="1"/>
        <v>8540341</v>
      </c>
    </row>
    <row r="131" spans="1:29" s="11" customFormat="1" ht="12">
      <c r="A131" s="11" t="s">
        <v>299</v>
      </c>
      <c r="C131" s="11" t="s">
        <v>177</v>
      </c>
      <c r="E131" s="12">
        <v>348675</v>
      </c>
      <c r="G131" s="12">
        <v>92698</v>
      </c>
      <c r="I131" s="12">
        <v>124287</v>
      </c>
      <c r="K131" s="12">
        <v>68525</v>
      </c>
      <c r="M131" s="12">
        <v>14464</v>
      </c>
      <c r="O131" s="12">
        <v>5003</v>
      </c>
      <c r="Q131" s="12">
        <v>17482</v>
      </c>
      <c r="S131" s="12">
        <v>50000</v>
      </c>
      <c r="U131" s="12">
        <v>0</v>
      </c>
      <c r="W131" s="12">
        <v>0</v>
      </c>
      <c r="Y131" s="12">
        <v>0</v>
      </c>
      <c r="AA131" s="12">
        <v>0</v>
      </c>
      <c r="AB131" s="12"/>
      <c r="AC131" s="12">
        <f t="shared" si="1"/>
        <v>721134</v>
      </c>
    </row>
    <row r="132" spans="1:29" s="11" customFormat="1" ht="12">
      <c r="A132" s="11" t="s">
        <v>300</v>
      </c>
      <c r="C132" s="11" t="s">
        <v>116</v>
      </c>
      <c r="E132" s="12">
        <v>0</v>
      </c>
      <c r="F132" s="12"/>
      <c r="G132" s="12">
        <v>0</v>
      </c>
      <c r="H132" s="12"/>
      <c r="I132" s="12">
        <v>0</v>
      </c>
      <c r="J132" s="12"/>
      <c r="K132" s="12">
        <v>763382</v>
      </c>
      <c r="L132" s="12"/>
      <c r="M132" s="12">
        <v>0</v>
      </c>
      <c r="N132" s="12"/>
      <c r="O132" s="12">
        <v>0</v>
      </c>
      <c r="P132" s="12"/>
      <c r="Q132" s="12">
        <v>13823</v>
      </c>
      <c r="R132" s="12"/>
      <c r="S132" s="12">
        <v>0</v>
      </c>
      <c r="T132" s="12"/>
      <c r="U132" s="12">
        <v>0</v>
      </c>
      <c r="V132" s="12"/>
      <c r="W132" s="12">
        <v>0</v>
      </c>
      <c r="X132" s="12"/>
      <c r="Y132" s="12">
        <v>0</v>
      </c>
      <c r="Z132" s="12"/>
      <c r="AA132" s="12">
        <v>0</v>
      </c>
      <c r="AB132" s="12"/>
      <c r="AC132" s="12">
        <f t="shared" si="1"/>
        <v>777205</v>
      </c>
    </row>
    <row r="133" spans="1:29" s="11" customFormat="1" ht="12">
      <c r="A133" s="11" t="s">
        <v>301</v>
      </c>
      <c r="C133" s="11" t="s">
        <v>106</v>
      </c>
      <c r="E133" s="12">
        <v>529428</v>
      </c>
      <c r="G133" s="12">
        <v>131985</v>
      </c>
      <c r="I133" s="12">
        <v>147922</v>
      </c>
      <c r="K133" s="12">
        <v>277864</v>
      </c>
      <c r="M133" s="12">
        <v>25720</v>
      </c>
      <c r="O133" s="12">
        <v>6136</v>
      </c>
      <c r="Q133" s="12">
        <v>0</v>
      </c>
      <c r="S133" s="12">
        <v>0</v>
      </c>
      <c r="U133" s="12">
        <v>0</v>
      </c>
      <c r="W133" s="12">
        <v>48516</v>
      </c>
      <c r="Y133" s="12">
        <v>0</v>
      </c>
      <c r="AA133" s="12">
        <v>0</v>
      </c>
      <c r="AB133" s="12"/>
      <c r="AC133" s="12">
        <f t="shared" si="1"/>
        <v>1167571</v>
      </c>
    </row>
    <row r="134" spans="1:29" s="11" customFormat="1" ht="12">
      <c r="A134" s="11" t="s">
        <v>302</v>
      </c>
      <c r="C134" s="11" t="s">
        <v>303</v>
      </c>
      <c r="E134" s="12">
        <v>3696380</v>
      </c>
      <c r="G134" s="12">
        <v>1928912</v>
      </c>
      <c r="I134" s="12">
        <v>948409</v>
      </c>
      <c r="K134" s="12">
        <v>1171857</v>
      </c>
      <c r="M134" s="12">
        <v>234752</v>
      </c>
      <c r="O134" s="12">
        <v>30764</v>
      </c>
      <c r="Q134" s="12">
        <v>60795</v>
      </c>
      <c r="S134" s="12">
        <v>0</v>
      </c>
      <c r="U134" s="12">
        <v>0</v>
      </c>
      <c r="W134" s="12">
        <v>380000</v>
      </c>
      <c r="Y134" s="12">
        <v>0</v>
      </c>
      <c r="AA134" s="12">
        <v>0</v>
      </c>
      <c r="AB134" s="12"/>
      <c r="AC134" s="12">
        <f t="shared" si="1"/>
        <v>8451869</v>
      </c>
    </row>
    <row r="135" spans="5:29" s="11" customFormat="1" ht="12"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B135" s="12"/>
      <c r="AC135" s="27" t="s">
        <v>98</v>
      </c>
    </row>
    <row r="136" spans="1:29" s="11" customFormat="1" ht="12">
      <c r="A136" s="11" t="s">
        <v>304</v>
      </c>
      <c r="C136" s="11" t="s">
        <v>201</v>
      </c>
      <c r="E136" s="26">
        <v>24457.71</v>
      </c>
      <c r="F136" s="26"/>
      <c r="G136" s="26">
        <v>2798.43</v>
      </c>
      <c r="H136" s="26"/>
      <c r="I136" s="26">
        <v>17595.34</v>
      </c>
      <c r="J136" s="26"/>
      <c r="K136" s="26">
        <v>17711.84</v>
      </c>
      <c r="L136" s="26"/>
      <c r="M136" s="26">
        <v>5074.82</v>
      </c>
      <c r="N136" s="26"/>
      <c r="O136" s="26">
        <v>492</v>
      </c>
      <c r="P136" s="26"/>
      <c r="Q136" s="26">
        <v>5160.53</v>
      </c>
      <c r="R136" s="26"/>
      <c r="S136" s="26">
        <v>0</v>
      </c>
      <c r="T136" s="26"/>
      <c r="U136" s="26">
        <v>0</v>
      </c>
      <c r="V136" s="26"/>
      <c r="W136" s="26">
        <v>0</v>
      </c>
      <c r="X136" s="26"/>
      <c r="Y136" s="26">
        <v>0</v>
      </c>
      <c r="Z136" s="26"/>
      <c r="AA136" s="26">
        <v>1845.98</v>
      </c>
      <c r="AB136" s="26"/>
      <c r="AC136" s="26">
        <f aca="true" t="shared" si="2" ref="AC136:AC164">SUM(E136:AA136)</f>
        <v>75136.64999999998</v>
      </c>
    </row>
    <row r="137" spans="1:29" s="11" customFormat="1" ht="12">
      <c r="A137" s="11" t="s">
        <v>305</v>
      </c>
      <c r="C137" s="11" t="s">
        <v>306</v>
      </c>
      <c r="E137" s="12">
        <v>1406305</v>
      </c>
      <c r="G137" s="12">
        <v>479437</v>
      </c>
      <c r="I137" s="12">
        <v>277689</v>
      </c>
      <c r="K137" s="12">
        <v>358063</v>
      </c>
      <c r="M137" s="12">
        <v>44568</v>
      </c>
      <c r="O137" s="12">
        <v>13343</v>
      </c>
      <c r="Q137" s="12">
        <v>72683</v>
      </c>
      <c r="S137" s="12">
        <v>0</v>
      </c>
      <c r="U137" s="12">
        <v>0</v>
      </c>
      <c r="W137" s="12">
        <v>0</v>
      </c>
      <c r="Y137" s="12">
        <v>0</v>
      </c>
      <c r="AA137" s="12">
        <v>0</v>
      </c>
      <c r="AB137" s="12"/>
      <c r="AC137" s="12">
        <f t="shared" si="2"/>
        <v>2652088</v>
      </c>
    </row>
    <row r="138" spans="1:29" s="11" customFormat="1" ht="12">
      <c r="A138" s="11" t="s">
        <v>600</v>
      </c>
      <c r="C138" s="11" t="s">
        <v>104</v>
      </c>
      <c r="E138" s="12">
        <v>560646</v>
      </c>
      <c r="F138" s="12"/>
      <c r="G138" s="12">
        <v>145646</v>
      </c>
      <c r="H138" s="12"/>
      <c r="I138" s="12">
        <v>214128</v>
      </c>
      <c r="J138" s="12"/>
      <c r="K138" s="12">
        <v>253088</v>
      </c>
      <c r="L138" s="12"/>
      <c r="M138" s="12">
        <v>39236</v>
      </c>
      <c r="N138" s="12"/>
      <c r="O138" s="12">
        <v>5279</v>
      </c>
      <c r="P138" s="12"/>
      <c r="Q138" s="12">
        <v>22907</v>
      </c>
      <c r="R138" s="12"/>
      <c r="S138" s="12">
        <v>0</v>
      </c>
      <c r="T138" s="12"/>
      <c r="U138" s="12">
        <v>0</v>
      </c>
      <c r="V138" s="12"/>
      <c r="W138" s="12">
        <v>7000</v>
      </c>
      <c r="X138" s="12"/>
      <c r="Y138" s="12">
        <v>0</v>
      </c>
      <c r="Z138" s="12"/>
      <c r="AA138" s="12">
        <v>0</v>
      </c>
      <c r="AB138" s="12"/>
      <c r="AC138" s="12">
        <f>SUM(E138:AA138)</f>
        <v>1247930</v>
      </c>
    </row>
    <row r="139" spans="1:29" s="11" customFormat="1" ht="12">
      <c r="A139" s="11" t="s">
        <v>307</v>
      </c>
      <c r="C139" s="11" t="s">
        <v>303</v>
      </c>
      <c r="E139" s="12">
        <v>249574.97</v>
      </c>
      <c r="F139" s="12"/>
      <c r="G139" s="12">
        <v>96814.56</v>
      </c>
      <c r="H139" s="12"/>
      <c r="I139" s="12">
        <v>93227.17</v>
      </c>
      <c r="J139" s="12"/>
      <c r="K139" s="12">
        <v>97496.87</v>
      </c>
      <c r="L139" s="12"/>
      <c r="M139" s="12">
        <v>18867.85</v>
      </c>
      <c r="N139" s="12"/>
      <c r="O139" s="12">
        <v>2514.58</v>
      </c>
      <c r="P139" s="12"/>
      <c r="Q139" s="12">
        <v>2899.86</v>
      </c>
      <c r="R139" s="12"/>
      <c r="S139" s="12">
        <v>0</v>
      </c>
      <c r="T139" s="12"/>
      <c r="U139" s="12">
        <v>0</v>
      </c>
      <c r="V139" s="12"/>
      <c r="W139" s="12">
        <v>10000</v>
      </c>
      <c r="X139" s="12"/>
      <c r="Y139" s="12">
        <v>0</v>
      </c>
      <c r="Z139" s="12"/>
      <c r="AA139" s="12">
        <v>0</v>
      </c>
      <c r="AB139" s="12"/>
      <c r="AC139" s="12">
        <f t="shared" si="2"/>
        <v>571395.86</v>
      </c>
    </row>
    <row r="140" spans="1:29" s="11" customFormat="1" ht="12">
      <c r="A140" s="11" t="s">
        <v>308</v>
      </c>
      <c r="C140" s="11" t="s">
        <v>147</v>
      </c>
      <c r="E140" s="12">
        <v>368444.37</v>
      </c>
      <c r="F140" s="12"/>
      <c r="G140" s="12">
        <v>60994.5</v>
      </c>
      <c r="H140" s="12"/>
      <c r="I140" s="12">
        <v>82093.53</v>
      </c>
      <c r="J140" s="12"/>
      <c r="K140" s="12">
        <v>95720.24</v>
      </c>
      <c r="L140" s="12"/>
      <c r="M140" s="12">
        <v>11183.57</v>
      </c>
      <c r="N140" s="12"/>
      <c r="O140" s="12">
        <v>4782.46</v>
      </c>
      <c r="P140" s="12"/>
      <c r="Q140" s="12">
        <v>2235.48</v>
      </c>
      <c r="R140" s="12"/>
      <c r="S140" s="12">
        <v>0</v>
      </c>
      <c r="T140" s="12"/>
      <c r="U140" s="12">
        <v>0</v>
      </c>
      <c r="V140" s="12"/>
      <c r="W140" s="12">
        <v>0</v>
      </c>
      <c r="X140" s="12"/>
      <c r="Y140" s="12">
        <v>0</v>
      </c>
      <c r="Z140" s="12"/>
      <c r="AA140" s="12">
        <v>0</v>
      </c>
      <c r="AB140" s="12"/>
      <c r="AC140" s="12">
        <f t="shared" si="2"/>
        <v>625454.1499999999</v>
      </c>
    </row>
    <row r="141" spans="1:29" s="11" customFormat="1" ht="12">
      <c r="A141" s="11" t="s">
        <v>309</v>
      </c>
      <c r="C141" s="11" t="s">
        <v>154</v>
      </c>
      <c r="E141" s="12">
        <v>301880.08</v>
      </c>
      <c r="F141" s="12"/>
      <c r="G141" s="12">
        <v>81451.52</v>
      </c>
      <c r="H141" s="12"/>
      <c r="I141" s="12">
        <v>110934.13</v>
      </c>
      <c r="J141" s="12"/>
      <c r="K141" s="12">
        <v>138966.62</v>
      </c>
      <c r="L141" s="12"/>
      <c r="M141" s="12">
        <v>26880.08</v>
      </c>
      <c r="N141" s="12"/>
      <c r="O141" s="12">
        <v>8847.67</v>
      </c>
      <c r="P141" s="12"/>
      <c r="Q141" s="12">
        <v>124289.29</v>
      </c>
      <c r="R141" s="12"/>
      <c r="S141" s="12">
        <v>0</v>
      </c>
      <c r="T141" s="12"/>
      <c r="U141" s="12">
        <v>0</v>
      </c>
      <c r="V141" s="12"/>
      <c r="W141" s="12">
        <v>0</v>
      </c>
      <c r="X141" s="12"/>
      <c r="Y141" s="12">
        <v>0</v>
      </c>
      <c r="Z141" s="12"/>
      <c r="AA141" s="12">
        <v>0</v>
      </c>
      <c r="AB141" s="12"/>
      <c r="AC141" s="12">
        <f t="shared" si="2"/>
        <v>793249.3900000001</v>
      </c>
    </row>
    <row r="142" spans="1:29" s="11" customFormat="1" ht="12">
      <c r="A142" s="11" t="s">
        <v>310</v>
      </c>
      <c r="C142" s="11" t="s">
        <v>311</v>
      </c>
      <c r="E142" s="12">
        <v>653080</v>
      </c>
      <c r="G142" s="12">
        <v>150811</v>
      </c>
      <c r="I142" s="12">
        <v>111778</v>
      </c>
      <c r="K142" s="12">
        <v>230370</v>
      </c>
      <c r="M142" s="12">
        <v>19063</v>
      </c>
      <c r="O142" s="12">
        <v>80750</v>
      </c>
      <c r="Q142" s="12">
        <v>21437</v>
      </c>
      <c r="S142" s="12">
        <v>0</v>
      </c>
      <c r="U142" s="12">
        <v>0</v>
      </c>
      <c r="W142" s="12">
        <v>322000</v>
      </c>
      <c r="Y142" s="12">
        <v>0</v>
      </c>
      <c r="AA142" s="12">
        <v>0</v>
      </c>
      <c r="AB142" s="12"/>
      <c r="AC142" s="12">
        <f t="shared" si="2"/>
        <v>1589289</v>
      </c>
    </row>
    <row r="143" spans="1:29" s="11" customFormat="1" ht="12">
      <c r="A143" s="11" t="s">
        <v>312</v>
      </c>
      <c r="C143" s="11" t="s">
        <v>147</v>
      </c>
      <c r="E143" s="12">
        <v>580430.24</v>
      </c>
      <c r="F143" s="12"/>
      <c r="G143" s="12">
        <v>205755.59</v>
      </c>
      <c r="H143" s="12"/>
      <c r="I143" s="12">
        <v>141100.33</v>
      </c>
      <c r="J143" s="12"/>
      <c r="K143" s="12">
        <v>257922.16</v>
      </c>
      <c r="L143" s="12"/>
      <c r="M143" s="12">
        <v>30798.12</v>
      </c>
      <c r="N143" s="12"/>
      <c r="O143" s="12">
        <v>5622.91</v>
      </c>
      <c r="P143" s="12"/>
      <c r="Q143" s="12">
        <v>33368.56</v>
      </c>
      <c r="R143" s="12"/>
      <c r="S143" s="12">
        <v>0</v>
      </c>
      <c r="T143" s="12"/>
      <c r="U143" s="12">
        <v>0</v>
      </c>
      <c r="V143" s="12"/>
      <c r="W143" s="12">
        <v>0</v>
      </c>
      <c r="X143" s="12"/>
      <c r="Y143" s="12">
        <v>0</v>
      </c>
      <c r="Z143" s="12"/>
      <c r="AA143" s="12">
        <v>0</v>
      </c>
      <c r="AB143" s="12"/>
      <c r="AC143" s="12">
        <f t="shared" si="2"/>
        <v>1254997.91</v>
      </c>
    </row>
    <row r="144" spans="1:29" s="11" customFormat="1" ht="12">
      <c r="A144" s="11" t="s">
        <v>313</v>
      </c>
      <c r="C144" s="11" t="s">
        <v>116</v>
      </c>
      <c r="E144" s="12">
        <v>997301</v>
      </c>
      <c r="G144" s="12">
        <v>218023</v>
      </c>
      <c r="I144" s="12">
        <v>196132</v>
      </c>
      <c r="K144" s="12">
        <v>263977</v>
      </c>
      <c r="M144" s="12">
        <v>47530</v>
      </c>
      <c r="O144" s="12">
        <v>13382</v>
      </c>
      <c r="Q144" s="12">
        <v>26441</v>
      </c>
      <c r="S144" s="12">
        <v>0</v>
      </c>
      <c r="U144" s="12">
        <v>0</v>
      </c>
      <c r="W144" s="12">
        <v>0</v>
      </c>
      <c r="Y144" s="12">
        <v>0</v>
      </c>
      <c r="AA144" s="12">
        <v>0</v>
      </c>
      <c r="AB144" s="12"/>
      <c r="AC144" s="12">
        <f t="shared" si="2"/>
        <v>1762786</v>
      </c>
    </row>
    <row r="145" spans="1:29" s="11" customFormat="1" ht="12">
      <c r="A145" s="11" t="s">
        <v>314</v>
      </c>
      <c r="C145" s="11" t="s">
        <v>244</v>
      </c>
      <c r="E145" s="12">
        <v>174686.84</v>
      </c>
      <c r="F145" s="12"/>
      <c r="G145" s="12">
        <v>70911.36</v>
      </c>
      <c r="H145" s="12"/>
      <c r="I145" s="12">
        <v>39835.89</v>
      </c>
      <c r="J145" s="12"/>
      <c r="K145" s="12">
        <v>26670.94</v>
      </c>
      <c r="L145" s="12"/>
      <c r="M145" s="12">
        <v>8096.84</v>
      </c>
      <c r="N145" s="12"/>
      <c r="O145" s="12">
        <v>4243</v>
      </c>
      <c r="P145" s="12"/>
      <c r="Q145" s="12">
        <v>1731</v>
      </c>
      <c r="R145" s="12"/>
      <c r="S145" s="12">
        <v>0</v>
      </c>
      <c r="T145" s="12"/>
      <c r="U145" s="12">
        <v>0</v>
      </c>
      <c r="V145" s="12"/>
      <c r="W145" s="12">
        <v>0</v>
      </c>
      <c r="X145" s="12"/>
      <c r="Y145" s="12">
        <v>0</v>
      </c>
      <c r="Z145" s="12"/>
      <c r="AA145" s="12">
        <v>0</v>
      </c>
      <c r="AB145" s="12"/>
      <c r="AC145" s="12">
        <f t="shared" si="2"/>
        <v>326175.87000000005</v>
      </c>
    </row>
    <row r="146" spans="1:29" s="11" customFormat="1" ht="12">
      <c r="A146" s="11" t="s">
        <v>317</v>
      </c>
      <c r="C146" s="11" t="s">
        <v>143</v>
      </c>
      <c r="E146" s="12">
        <v>481682</v>
      </c>
      <c r="G146" s="12">
        <v>185948</v>
      </c>
      <c r="I146" s="12">
        <v>139507</v>
      </c>
      <c r="K146" s="12">
        <v>84093</v>
      </c>
      <c r="M146" s="12">
        <v>23160</v>
      </c>
      <c r="O146" s="12">
        <v>222</v>
      </c>
      <c r="Q146" s="12">
        <v>58870</v>
      </c>
      <c r="S146" s="12">
        <v>0</v>
      </c>
      <c r="U146" s="12">
        <v>0</v>
      </c>
      <c r="W146" s="12">
        <v>100000</v>
      </c>
      <c r="Y146" s="12">
        <v>0</v>
      </c>
      <c r="AA146" s="12">
        <v>0</v>
      </c>
      <c r="AB146" s="12"/>
      <c r="AC146" s="12">
        <f t="shared" si="2"/>
        <v>1073482</v>
      </c>
    </row>
    <row r="147" spans="1:29" s="11" customFormat="1" ht="12">
      <c r="A147" s="11" t="s">
        <v>315</v>
      </c>
      <c r="C147" s="11" t="s">
        <v>155</v>
      </c>
      <c r="E147" s="12">
        <v>183296.72</v>
      </c>
      <c r="F147" s="12"/>
      <c r="G147" s="12">
        <v>73833.36</v>
      </c>
      <c r="H147" s="12"/>
      <c r="I147" s="12">
        <v>38901.07</v>
      </c>
      <c r="J147" s="12"/>
      <c r="K147" s="12">
        <v>48017.57</v>
      </c>
      <c r="L147" s="12"/>
      <c r="M147" s="12">
        <v>9667.98</v>
      </c>
      <c r="N147" s="12"/>
      <c r="O147" s="12">
        <v>1150</v>
      </c>
      <c r="P147" s="12"/>
      <c r="Q147" s="12">
        <v>18782.98</v>
      </c>
      <c r="R147" s="12"/>
      <c r="S147" s="12">
        <v>0</v>
      </c>
      <c r="T147" s="12"/>
      <c r="U147" s="12">
        <v>0</v>
      </c>
      <c r="V147" s="12"/>
      <c r="W147" s="12">
        <v>0</v>
      </c>
      <c r="X147" s="12"/>
      <c r="Y147" s="12">
        <v>0</v>
      </c>
      <c r="Z147" s="12"/>
      <c r="AA147" s="12">
        <v>5358.19</v>
      </c>
      <c r="AB147" s="12"/>
      <c r="AC147" s="12">
        <f t="shared" si="2"/>
        <v>379007.87</v>
      </c>
    </row>
    <row r="148" spans="1:29" s="11" customFormat="1" ht="12">
      <c r="A148" s="11" t="s">
        <v>316</v>
      </c>
      <c r="C148" s="11" t="s">
        <v>111</v>
      </c>
      <c r="E148" s="12">
        <v>3567928</v>
      </c>
      <c r="G148" s="12">
        <v>966186</v>
      </c>
      <c r="I148" s="12">
        <v>1094954</v>
      </c>
      <c r="K148" s="12">
        <v>1581427</v>
      </c>
      <c r="M148" s="12">
        <v>198390</v>
      </c>
      <c r="O148" s="12">
        <v>17821</v>
      </c>
      <c r="Q148" s="12">
        <v>0</v>
      </c>
      <c r="S148" s="12">
        <v>0</v>
      </c>
      <c r="U148" s="12">
        <v>0</v>
      </c>
      <c r="W148" s="12">
        <v>0</v>
      </c>
      <c r="Y148" s="12">
        <v>0</v>
      </c>
      <c r="AA148" s="12">
        <v>0</v>
      </c>
      <c r="AB148" s="12"/>
      <c r="AC148" s="12">
        <f t="shared" si="2"/>
        <v>7426706</v>
      </c>
    </row>
    <row r="149" spans="1:63" s="38" customFormat="1" ht="12.75">
      <c r="A149" s="11" t="s">
        <v>604</v>
      </c>
      <c r="B149" s="11"/>
      <c r="C149" s="12" t="s">
        <v>603</v>
      </c>
      <c r="D149" s="12"/>
      <c r="E149" s="12">
        <v>421375.81</v>
      </c>
      <c r="F149" s="12"/>
      <c r="G149" s="12">
        <v>106033.57</v>
      </c>
      <c r="H149" s="12"/>
      <c r="I149" s="12">
        <v>89986.56</v>
      </c>
      <c r="J149" s="12"/>
      <c r="K149" s="12">
        <v>133458.61</v>
      </c>
      <c r="L149" s="12"/>
      <c r="M149" s="12">
        <v>17281.32</v>
      </c>
      <c r="N149" s="12"/>
      <c r="O149" s="12">
        <v>4479.57</v>
      </c>
      <c r="P149" s="12"/>
      <c r="Q149" s="12">
        <v>13421.96</v>
      </c>
      <c r="R149" s="12"/>
      <c r="S149" s="12">
        <v>0</v>
      </c>
      <c r="T149" s="12"/>
      <c r="U149" s="12">
        <v>0</v>
      </c>
      <c r="V149" s="12"/>
      <c r="W149" s="12">
        <v>150000</v>
      </c>
      <c r="X149" s="12"/>
      <c r="Y149" s="12">
        <v>0</v>
      </c>
      <c r="Z149" s="12"/>
      <c r="AA149" s="12">
        <v>0</v>
      </c>
      <c r="AB149" s="12"/>
      <c r="AC149" s="12">
        <f t="shared" si="2"/>
        <v>936037.3999999998</v>
      </c>
      <c r="AD149" s="35"/>
      <c r="AE149" s="36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</row>
    <row r="150" spans="1:29" s="11" customFormat="1" ht="12">
      <c r="A150" s="11" t="s">
        <v>105</v>
      </c>
      <c r="C150" s="11" t="s">
        <v>106</v>
      </c>
      <c r="E150" s="12">
        <f>1009341+723467</f>
        <v>1732808</v>
      </c>
      <c r="G150" s="12">
        <v>0</v>
      </c>
      <c r="I150" s="12">
        <f>179578+88428+600147</f>
        <v>868153</v>
      </c>
      <c r="K150" s="12">
        <v>0</v>
      </c>
      <c r="M150" s="12">
        <v>0</v>
      </c>
      <c r="O150" s="12">
        <v>0</v>
      </c>
      <c r="Q150" s="12">
        <v>93215</v>
      </c>
      <c r="S150" s="12">
        <v>0</v>
      </c>
      <c r="U150" s="12">
        <v>0</v>
      </c>
      <c r="W150" s="12">
        <v>114331</v>
      </c>
      <c r="Y150" s="12">
        <v>0</v>
      </c>
      <c r="AA150" s="12">
        <v>0</v>
      </c>
      <c r="AB150" s="12"/>
      <c r="AC150" s="12">
        <f t="shared" si="2"/>
        <v>2808507</v>
      </c>
    </row>
    <row r="151" spans="1:29" s="11" customFormat="1" ht="12">
      <c r="A151" s="11" t="s">
        <v>318</v>
      </c>
      <c r="C151" s="11" t="s">
        <v>101</v>
      </c>
      <c r="E151" s="12">
        <f>2340360+1586490</f>
        <v>3926850</v>
      </c>
      <c r="G151" s="12">
        <v>0</v>
      </c>
      <c r="I151" s="12">
        <v>0</v>
      </c>
      <c r="K151" s="12">
        <f>722841+91267+729969</f>
        <v>1544077</v>
      </c>
      <c r="M151" s="12">
        <v>0</v>
      </c>
      <c r="O151" s="12">
        <v>0</v>
      </c>
      <c r="Q151" s="12">
        <v>104863</v>
      </c>
      <c r="S151" s="12">
        <v>0</v>
      </c>
      <c r="U151" s="12">
        <v>0</v>
      </c>
      <c r="W151" s="12">
        <v>250000</v>
      </c>
      <c r="Y151" s="12">
        <v>0</v>
      </c>
      <c r="AA151" s="12">
        <v>0</v>
      </c>
      <c r="AB151" s="12"/>
      <c r="AC151" s="12">
        <f t="shared" si="2"/>
        <v>5825790</v>
      </c>
    </row>
    <row r="152" spans="1:29" s="11" customFormat="1" ht="12">
      <c r="A152" s="11" t="s">
        <v>319</v>
      </c>
      <c r="C152" s="11" t="s">
        <v>278</v>
      </c>
      <c r="E152" s="12">
        <v>333030.99</v>
      </c>
      <c r="F152" s="12"/>
      <c r="G152" s="12">
        <v>54863.09</v>
      </c>
      <c r="H152" s="12"/>
      <c r="I152" s="12">
        <v>74012.26</v>
      </c>
      <c r="J152" s="12"/>
      <c r="K152" s="12">
        <v>114566.89</v>
      </c>
      <c r="L152" s="12"/>
      <c r="M152" s="12">
        <v>10771.38</v>
      </c>
      <c r="N152" s="12"/>
      <c r="O152" s="12">
        <v>5405.24</v>
      </c>
      <c r="P152" s="12"/>
      <c r="Q152" s="12">
        <v>0</v>
      </c>
      <c r="R152" s="12"/>
      <c r="S152" s="12">
        <v>0</v>
      </c>
      <c r="T152" s="12"/>
      <c r="U152" s="12">
        <v>0</v>
      </c>
      <c r="V152" s="12"/>
      <c r="W152" s="12">
        <v>0</v>
      </c>
      <c r="X152" s="12"/>
      <c r="Y152" s="12">
        <v>0</v>
      </c>
      <c r="Z152" s="12"/>
      <c r="AA152" s="12">
        <v>0</v>
      </c>
      <c r="AB152" s="12"/>
      <c r="AC152" s="12">
        <f t="shared" si="2"/>
        <v>592649.85</v>
      </c>
    </row>
    <row r="153" spans="1:29" s="11" customFormat="1" ht="12">
      <c r="A153" s="11" t="s">
        <v>320</v>
      </c>
      <c r="C153" s="11" t="s">
        <v>146</v>
      </c>
      <c r="E153" s="12">
        <v>235462.57</v>
      </c>
      <c r="F153" s="12"/>
      <c r="G153" s="12">
        <v>61879.12</v>
      </c>
      <c r="H153" s="12"/>
      <c r="I153" s="12">
        <v>64221.37</v>
      </c>
      <c r="J153" s="12"/>
      <c r="K153" s="12">
        <v>72630.09</v>
      </c>
      <c r="L153" s="12"/>
      <c r="M153" s="12">
        <v>5138.35</v>
      </c>
      <c r="N153" s="12"/>
      <c r="O153" s="12">
        <v>12260</v>
      </c>
      <c r="P153" s="12"/>
      <c r="Q153" s="12">
        <v>12210.63</v>
      </c>
      <c r="R153" s="12"/>
      <c r="S153" s="12">
        <v>0</v>
      </c>
      <c r="T153" s="12"/>
      <c r="U153" s="12">
        <v>0</v>
      </c>
      <c r="V153" s="12"/>
      <c r="W153" s="12">
        <v>0</v>
      </c>
      <c r="X153" s="12"/>
      <c r="Y153" s="12">
        <v>0</v>
      </c>
      <c r="Z153" s="12"/>
      <c r="AA153" s="12">
        <v>0</v>
      </c>
      <c r="AB153" s="12"/>
      <c r="AC153" s="12">
        <f t="shared" si="2"/>
        <v>463802.13</v>
      </c>
    </row>
    <row r="154" spans="1:29" s="11" customFormat="1" ht="12">
      <c r="A154" s="11" t="s">
        <v>321</v>
      </c>
      <c r="C154" s="11" t="s">
        <v>116</v>
      </c>
      <c r="E154" s="12">
        <v>443134.88</v>
      </c>
      <c r="F154" s="12"/>
      <c r="G154" s="12">
        <v>142469.85</v>
      </c>
      <c r="H154" s="12"/>
      <c r="I154" s="12">
        <v>91849.7</v>
      </c>
      <c r="J154" s="12"/>
      <c r="K154" s="12">
        <v>125226.09</v>
      </c>
      <c r="L154" s="12"/>
      <c r="M154" s="12">
        <v>9257.47</v>
      </c>
      <c r="N154" s="12"/>
      <c r="O154" s="12">
        <v>21905.27</v>
      </c>
      <c r="P154" s="12"/>
      <c r="Q154" s="12">
        <v>0</v>
      </c>
      <c r="R154" s="12"/>
      <c r="S154" s="12">
        <v>0</v>
      </c>
      <c r="T154" s="12"/>
      <c r="U154" s="12">
        <v>0</v>
      </c>
      <c r="V154" s="12"/>
      <c r="W154" s="12">
        <v>0</v>
      </c>
      <c r="X154" s="12"/>
      <c r="Y154" s="12">
        <v>0</v>
      </c>
      <c r="Z154" s="12"/>
      <c r="AA154" s="12">
        <v>0</v>
      </c>
      <c r="AB154" s="12"/>
      <c r="AC154" s="12">
        <f t="shared" si="2"/>
        <v>833843.2599999999</v>
      </c>
    </row>
    <row r="155" spans="1:29" s="11" customFormat="1" ht="12">
      <c r="A155" s="11" t="s">
        <v>322</v>
      </c>
      <c r="C155" s="11" t="s">
        <v>156</v>
      </c>
      <c r="E155" s="12">
        <v>118640.93</v>
      </c>
      <c r="F155" s="12"/>
      <c r="G155" s="12">
        <v>17723.21</v>
      </c>
      <c r="H155" s="12"/>
      <c r="I155" s="12">
        <v>37422.96</v>
      </c>
      <c r="J155" s="12"/>
      <c r="K155" s="12">
        <v>74546.93</v>
      </c>
      <c r="L155" s="12"/>
      <c r="M155" s="12">
        <v>11736.63</v>
      </c>
      <c r="N155" s="12"/>
      <c r="O155" s="12">
        <v>6889.4</v>
      </c>
      <c r="P155" s="12"/>
      <c r="Q155" s="12">
        <v>2498.01</v>
      </c>
      <c r="R155" s="12"/>
      <c r="S155" s="12">
        <v>0</v>
      </c>
      <c r="T155" s="12"/>
      <c r="U155" s="12">
        <v>0</v>
      </c>
      <c r="V155" s="12"/>
      <c r="W155" s="12">
        <v>1986.18</v>
      </c>
      <c r="X155" s="12"/>
      <c r="Y155" s="12">
        <v>0</v>
      </c>
      <c r="Z155" s="12"/>
      <c r="AA155" s="12">
        <v>0</v>
      </c>
      <c r="AB155" s="12"/>
      <c r="AC155" s="12">
        <f t="shared" si="2"/>
        <v>271444.25</v>
      </c>
    </row>
    <row r="156" spans="1:29" s="11" customFormat="1" ht="12">
      <c r="A156" s="11" t="s">
        <v>323</v>
      </c>
      <c r="C156" s="11" t="s">
        <v>117</v>
      </c>
      <c r="E156" s="12">
        <v>639</v>
      </c>
      <c r="G156" s="12">
        <v>40894</v>
      </c>
      <c r="I156" s="12">
        <v>18824</v>
      </c>
      <c r="K156" s="12">
        <v>0</v>
      </c>
      <c r="M156" s="12">
        <v>0</v>
      </c>
      <c r="O156" s="12">
        <v>17340</v>
      </c>
      <c r="Q156" s="12">
        <v>0</v>
      </c>
      <c r="S156" s="12">
        <v>0</v>
      </c>
      <c r="U156" s="12">
        <v>0</v>
      </c>
      <c r="W156" s="12">
        <v>0</v>
      </c>
      <c r="Y156" s="12">
        <v>16893</v>
      </c>
      <c r="AA156" s="12">
        <v>0</v>
      </c>
      <c r="AB156" s="12"/>
      <c r="AC156" s="12">
        <f t="shared" si="2"/>
        <v>94590</v>
      </c>
    </row>
    <row r="157" spans="1:29" s="11" customFormat="1" ht="12">
      <c r="A157" s="11" t="s">
        <v>324</v>
      </c>
      <c r="C157" s="11" t="s">
        <v>157</v>
      </c>
      <c r="E157" s="12">
        <v>0</v>
      </c>
      <c r="F157" s="12"/>
      <c r="G157" s="12">
        <v>0</v>
      </c>
      <c r="H157" s="12"/>
      <c r="I157" s="12">
        <f>16669+1266</f>
        <v>17935</v>
      </c>
      <c r="J157" s="12"/>
      <c r="K157" s="12">
        <v>0</v>
      </c>
      <c r="L157" s="12"/>
      <c r="M157" s="12">
        <v>0</v>
      </c>
      <c r="N157" s="12"/>
      <c r="O157" s="12">
        <v>554</v>
      </c>
      <c r="P157" s="12"/>
      <c r="Q157" s="12">
        <v>0</v>
      </c>
      <c r="R157" s="12"/>
      <c r="S157" s="12">
        <v>0</v>
      </c>
      <c r="T157" s="12"/>
      <c r="U157" s="12">
        <v>0</v>
      </c>
      <c r="V157" s="12"/>
      <c r="W157" s="12">
        <v>0</v>
      </c>
      <c r="X157" s="12"/>
      <c r="Y157" s="12">
        <v>0</v>
      </c>
      <c r="Z157" s="12"/>
      <c r="AA157" s="12">
        <v>0</v>
      </c>
      <c r="AB157" s="12"/>
      <c r="AC157" s="12">
        <f t="shared" si="2"/>
        <v>18489</v>
      </c>
    </row>
    <row r="158" spans="1:29" s="11" customFormat="1" ht="12">
      <c r="A158" s="11" t="s">
        <v>325</v>
      </c>
      <c r="C158" s="11" t="s">
        <v>185</v>
      </c>
      <c r="E158" s="12">
        <v>74545</v>
      </c>
      <c r="G158" s="12">
        <v>10956</v>
      </c>
      <c r="I158" s="12">
        <v>31510</v>
      </c>
      <c r="K158" s="12">
        <v>17217</v>
      </c>
      <c r="M158" s="12">
        <v>3827</v>
      </c>
      <c r="O158" s="12">
        <v>305</v>
      </c>
      <c r="Q158" s="12">
        <v>0</v>
      </c>
      <c r="S158" s="12">
        <v>0</v>
      </c>
      <c r="U158" s="12">
        <v>0</v>
      </c>
      <c r="W158" s="12">
        <v>0</v>
      </c>
      <c r="Y158" s="12">
        <v>0</v>
      </c>
      <c r="AA158" s="12">
        <v>0</v>
      </c>
      <c r="AB158" s="12"/>
      <c r="AC158" s="12">
        <f t="shared" si="2"/>
        <v>138360</v>
      </c>
    </row>
    <row r="159" spans="1:29" s="11" customFormat="1" ht="12">
      <c r="A159" s="11" t="s">
        <v>326</v>
      </c>
      <c r="C159" s="11" t="s">
        <v>327</v>
      </c>
      <c r="E159" s="12">
        <v>113058</v>
      </c>
      <c r="G159" s="12">
        <v>17834</v>
      </c>
      <c r="I159" s="12">
        <v>53023</v>
      </c>
      <c r="K159" s="12">
        <v>43654</v>
      </c>
      <c r="M159" s="12">
        <v>8539</v>
      </c>
      <c r="O159" s="12">
        <v>3765</v>
      </c>
      <c r="Q159" s="12">
        <v>33658</v>
      </c>
      <c r="S159" s="12">
        <v>0</v>
      </c>
      <c r="U159" s="12">
        <v>0</v>
      </c>
      <c r="W159" s="12">
        <v>0</v>
      </c>
      <c r="Y159" s="12">
        <v>0</v>
      </c>
      <c r="AA159" s="12">
        <v>0</v>
      </c>
      <c r="AB159" s="12"/>
      <c r="AC159" s="12">
        <f t="shared" si="2"/>
        <v>273531</v>
      </c>
    </row>
    <row r="160" spans="1:29" s="11" customFormat="1" ht="12">
      <c r="A160" s="11" t="s">
        <v>328</v>
      </c>
      <c r="C160" s="11" t="s">
        <v>106</v>
      </c>
      <c r="E160" s="12">
        <v>1186508</v>
      </c>
      <c r="G160" s="12">
        <v>403414</v>
      </c>
      <c r="I160" s="12">
        <v>320046</v>
      </c>
      <c r="K160" s="12">
        <v>472431</v>
      </c>
      <c r="M160" s="12">
        <v>48748</v>
      </c>
      <c r="O160" s="12">
        <v>8450</v>
      </c>
      <c r="Q160" s="12">
        <v>31979</v>
      </c>
      <c r="S160" s="12">
        <v>0</v>
      </c>
      <c r="U160" s="12">
        <v>0</v>
      </c>
      <c r="W160" s="12">
        <v>500000</v>
      </c>
      <c r="Y160" s="12">
        <v>0</v>
      </c>
      <c r="AA160" s="12">
        <v>0</v>
      </c>
      <c r="AB160" s="12"/>
      <c r="AC160" s="12">
        <f t="shared" si="2"/>
        <v>2971576</v>
      </c>
    </row>
    <row r="161" spans="1:29" s="11" customFormat="1" ht="12">
      <c r="A161" s="11" t="s">
        <v>329</v>
      </c>
      <c r="C161" s="11" t="s">
        <v>161</v>
      </c>
      <c r="E161" s="12">
        <v>200626</v>
      </c>
      <c r="G161" s="12">
        <v>32657</v>
      </c>
      <c r="I161" s="12">
        <v>86282</v>
      </c>
      <c r="K161" s="12">
        <v>46001</v>
      </c>
      <c r="M161" s="12">
        <v>7916</v>
      </c>
      <c r="O161" s="12">
        <v>10471</v>
      </c>
      <c r="Q161" s="12">
        <v>11094</v>
      </c>
      <c r="S161" s="12">
        <v>0</v>
      </c>
      <c r="U161" s="12">
        <v>0</v>
      </c>
      <c r="W161" s="12">
        <v>0</v>
      </c>
      <c r="Y161" s="12">
        <v>0</v>
      </c>
      <c r="AA161" s="12">
        <v>0</v>
      </c>
      <c r="AB161" s="12"/>
      <c r="AC161" s="12">
        <f t="shared" si="2"/>
        <v>395047</v>
      </c>
    </row>
    <row r="162" spans="1:29" s="11" customFormat="1" ht="12">
      <c r="A162" s="11" t="s">
        <v>330</v>
      </c>
      <c r="C162" s="11" t="s">
        <v>103</v>
      </c>
      <c r="E162" s="12">
        <v>133761.5</v>
      </c>
      <c r="F162" s="12"/>
      <c r="G162" s="12">
        <v>26972.8</v>
      </c>
      <c r="H162" s="12"/>
      <c r="I162" s="12">
        <v>50122.38</v>
      </c>
      <c r="J162" s="12"/>
      <c r="K162" s="12">
        <v>46510.88</v>
      </c>
      <c r="L162" s="12"/>
      <c r="M162" s="12">
        <v>3807.27</v>
      </c>
      <c r="N162" s="12"/>
      <c r="O162" s="12">
        <v>4013.5</v>
      </c>
      <c r="P162" s="12"/>
      <c r="Q162" s="12">
        <v>2377</v>
      </c>
      <c r="R162" s="12"/>
      <c r="S162" s="12">
        <v>0</v>
      </c>
      <c r="T162" s="12"/>
      <c r="U162" s="12">
        <v>0</v>
      </c>
      <c r="V162" s="12"/>
      <c r="W162" s="12">
        <v>0</v>
      </c>
      <c r="X162" s="12"/>
      <c r="Y162" s="12">
        <v>34000</v>
      </c>
      <c r="Z162" s="12"/>
      <c r="AA162" s="12">
        <v>101.1</v>
      </c>
      <c r="AB162" s="12"/>
      <c r="AC162" s="12">
        <f t="shared" si="2"/>
        <v>301666.42999999993</v>
      </c>
    </row>
    <row r="163" spans="1:29" s="11" customFormat="1" ht="12">
      <c r="A163" s="11" t="s">
        <v>601</v>
      </c>
      <c r="C163" s="11" t="s">
        <v>107</v>
      </c>
      <c r="E163" s="12">
        <v>0</v>
      </c>
      <c r="F163" s="12"/>
      <c r="G163" s="12">
        <v>0</v>
      </c>
      <c r="H163" s="12"/>
      <c r="I163" s="12">
        <v>1858396</v>
      </c>
      <c r="J163" s="12"/>
      <c r="K163" s="12">
        <v>0</v>
      </c>
      <c r="L163" s="12"/>
      <c r="M163" s="12">
        <v>0</v>
      </c>
      <c r="N163" s="12"/>
      <c r="O163" s="12">
        <v>0</v>
      </c>
      <c r="P163" s="12"/>
      <c r="Q163" s="12">
        <v>0</v>
      </c>
      <c r="R163" s="12"/>
      <c r="S163" s="12">
        <v>0</v>
      </c>
      <c r="T163" s="12"/>
      <c r="U163" s="12">
        <v>0</v>
      </c>
      <c r="V163" s="12"/>
      <c r="W163" s="12">
        <v>0</v>
      </c>
      <c r="X163" s="12"/>
      <c r="Y163" s="12">
        <v>0</v>
      </c>
      <c r="Z163" s="12"/>
      <c r="AA163" s="12">
        <v>0</v>
      </c>
      <c r="AB163" s="12"/>
      <c r="AC163" s="12">
        <f>SUM(E163:AA163)</f>
        <v>1858396</v>
      </c>
    </row>
    <row r="164" spans="1:29" s="11" customFormat="1" ht="12">
      <c r="A164" s="11" t="s">
        <v>331</v>
      </c>
      <c r="C164" s="11" t="s">
        <v>332</v>
      </c>
      <c r="E164" s="12">
        <v>0</v>
      </c>
      <c r="G164" s="12">
        <v>0</v>
      </c>
      <c r="I164" s="12">
        <f>2099233+427487</f>
        <v>2526720</v>
      </c>
      <c r="K164" s="12">
        <v>616505</v>
      </c>
      <c r="M164" s="12">
        <v>0</v>
      </c>
      <c r="O164" s="12">
        <v>0</v>
      </c>
      <c r="Q164" s="12">
        <v>27880</v>
      </c>
      <c r="S164" s="12">
        <v>0</v>
      </c>
      <c r="U164" s="12">
        <v>0</v>
      </c>
      <c r="W164" s="12">
        <v>516805</v>
      </c>
      <c r="Y164" s="12">
        <v>0</v>
      </c>
      <c r="AA164" s="12">
        <v>0</v>
      </c>
      <c r="AB164" s="12"/>
      <c r="AC164" s="12">
        <f t="shared" si="2"/>
        <v>3687910</v>
      </c>
    </row>
    <row r="165" spans="1:29" s="11" customFormat="1" ht="12">
      <c r="A165" s="11" t="s">
        <v>465</v>
      </c>
      <c r="C165" s="11" t="s">
        <v>153</v>
      </c>
      <c r="E165" s="12">
        <v>406269</v>
      </c>
      <c r="F165" s="12"/>
      <c r="G165" s="12">
        <v>120629</v>
      </c>
      <c r="H165" s="12"/>
      <c r="I165" s="12">
        <v>87674</v>
      </c>
      <c r="J165" s="12"/>
      <c r="K165" s="12">
        <v>123526</v>
      </c>
      <c r="L165" s="12"/>
      <c r="M165" s="12">
        <v>15710</v>
      </c>
      <c r="N165" s="12"/>
      <c r="O165" s="12">
        <v>8016</v>
      </c>
      <c r="P165" s="12"/>
      <c r="Q165" s="12">
        <v>14534</v>
      </c>
      <c r="R165" s="12"/>
      <c r="S165" s="12">
        <v>0</v>
      </c>
      <c r="T165" s="12"/>
      <c r="U165" s="12">
        <v>0</v>
      </c>
      <c r="V165" s="12"/>
      <c r="W165" s="12">
        <v>100000</v>
      </c>
      <c r="X165" s="12"/>
      <c r="Y165" s="12">
        <v>0</v>
      </c>
      <c r="Z165" s="12"/>
      <c r="AA165" s="12">
        <v>0</v>
      </c>
      <c r="AB165" s="12"/>
      <c r="AC165" s="12">
        <f aca="true" t="shared" si="3" ref="AC165:AC198">SUM(E165:AA165)</f>
        <v>876358</v>
      </c>
    </row>
    <row r="166" spans="1:29" s="11" customFormat="1" ht="12">
      <c r="A166" s="11" t="s">
        <v>333</v>
      </c>
      <c r="C166" s="11" t="s">
        <v>334</v>
      </c>
      <c r="E166" s="12">
        <v>834696</v>
      </c>
      <c r="F166" s="12"/>
      <c r="G166" s="12">
        <v>0</v>
      </c>
      <c r="H166" s="12"/>
      <c r="I166" s="12">
        <v>263333</v>
      </c>
      <c r="J166" s="12"/>
      <c r="K166" s="12">
        <v>209751</v>
      </c>
      <c r="L166" s="12"/>
      <c r="M166" s="12">
        <v>10304</v>
      </c>
      <c r="N166" s="12"/>
      <c r="O166" s="12">
        <v>435786</v>
      </c>
      <c r="P166" s="12"/>
      <c r="Q166" s="12">
        <v>69447</v>
      </c>
      <c r="R166" s="12"/>
      <c r="S166" s="12">
        <v>0</v>
      </c>
      <c r="T166" s="12"/>
      <c r="U166" s="12">
        <v>0</v>
      </c>
      <c r="V166" s="12"/>
      <c r="W166" s="12">
        <v>0</v>
      </c>
      <c r="X166" s="12"/>
      <c r="Y166" s="12">
        <v>0</v>
      </c>
      <c r="Z166" s="12"/>
      <c r="AA166" s="12">
        <v>0</v>
      </c>
      <c r="AB166" s="12"/>
      <c r="AC166" s="12">
        <f t="shared" si="3"/>
        <v>1823317</v>
      </c>
    </row>
    <row r="167" spans="1:29" s="11" customFormat="1" ht="12">
      <c r="A167" s="11" t="s">
        <v>335</v>
      </c>
      <c r="C167" s="11" t="s">
        <v>215</v>
      </c>
      <c r="E167" s="12">
        <v>420290</v>
      </c>
      <c r="F167" s="12"/>
      <c r="G167" s="12">
        <v>771</v>
      </c>
      <c r="H167" s="12"/>
      <c r="I167" s="12">
        <v>81233</v>
      </c>
      <c r="J167" s="12"/>
      <c r="K167" s="12">
        <v>111317</v>
      </c>
      <c r="L167" s="12"/>
      <c r="M167" s="12">
        <v>29427</v>
      </c>
      <c r="N167" s="12"/>
      <c r="O167" s="12">
        <v>4175</v>
      </c>
      <c r="P167" s="12"/>
      <c r="Q167" s="12">
        <v>18891</v>
      </c>
      <c r="R167" s="12"/>
      <c r="S167" s="12">
        <v>0</v>
      </c>
      <c r="T167" s="12"/>
      <c r="U167" s="12">
        <v>0</v>
      </c>
      <c r="V167" s="12"/>
      <c r="W167" s="12">
        <v>0</v>
      </c>
      <c r="X167" s="12"/>
      <c r="Y167" s="12">
        <v>0</v>
      </c>
      <c r="Z167" s="12"/>
      <c r="AA167" s="12">
        <v>0</v>
      </c>
      <c r="AB167" s="12"/>
      <c r="AC167" s="12">
        <f t="shared" si="3"/>
        <v>666104</v>
      </c>
    </row>
    <row r="168" spans="1:29" s="11" customFormat="1" ht="12">
      <c r="A168" s="11" t="s">
        <v>336</v>
      </c>
      <c r="C168" s="11" t="s">
        <v>185</v>
      </c>
      <c r="E168" s="12">
        <v>164232</v>
      </c>
      <c r="F168" s="12"/>
      <c r="G168" s="12">
        <v>0</v>
      </c>
      <c r="H168" s="12"/>
      <c r="I168" s="12">
        <v>51150</v>
      </c>
      <c r="J168" s="12"/>
      <c r="K168" s="12">
        <v>38780</v>
      </c>
      <c r="L168" s="12"/>
      <c r="M168" s="12">
        <v>9364</v>
      </c>
      <c r="N168" s="12"/>
      <c r="O168" s="12">
        <v>3974</v>
      </c>
      <c r="P168" s="12"/>
      <c r="Q168" s="12">
        <v>15397</v>
      </c>
      <c r="R168" s="12"/>
      <c r="S168" s="12">
        <v>0</v>
      </c>
      <c r="T168" s="12"/>
      <c r="U168" s="12">
        <v>0</v>
      </c>
      <c r="V168" s="12"/>
      <c r="W168" s="12">
        <v>0</v>
      </c>
      <c r="X168" s="12"/>
      <c r="Y168" s="12">
        <v>0</v>
      </c>
      <c r="Z168" s="12"/>
      <c r="AA168" s="12">
        <v>0</v>
      </c>
      <c r="AB168" s="12"/>
      <c r="AC168" s="12">
        <f t="shared" si="3"/>
        <v>282897</v>
      </c>
    </row>
    <row r="169" spans="1:29" s="11" customFormat="1" ht="12">
      <c r="A169" s="11" t="s">
        <v>337</v>
      </c>
      <c r="C169" s="11" t="s">
        <v>174</v>
      </c>
      <c r="E169" s="12">
        <v>176000.41</v>
      </c>
      <c r="F169" s="12"/>
      <c r="G169" s="12">
        <v>39827.7</v>
      </c>
      <c r="H169" s="12"/>
      <c r="I169" s="12">
        <v>58769.07</v>
      </c>
      <c r="J169" s="12"/>
      <c r="K169" s="12">
        <v>41708.06</v>
      </c>
      <c r="L169" s="12"/>
      <c r="M169" s="12">
        <v>5531.81</v>
      </c>
      <c r="N169" s="12"/>
      <c r="O169" s="12">
        <v>1242.03</v>
      </c>
      <c r="P169" s="12"/>
      <c r="Q169" s="12">
        <v>7932.61</v>
      </c>
      <c r="R169" s="12"/>
      <c r="S169" s="12">
        <v>0</v>
      </c>
      <c r="T169" s="12"/>
      <c r="U169" s="12">
        <v>0</v>
      </c>
      <c r="V169" s="12"/>
      <c r="W169" s="12">
        <v>0</v>
      </c>
      <c r="X169" s="12"/>
      <c r="Y169" s="12">
        <v>0</v>
      </c>
      <c r="Z169" s="12"/>
      <c r="AA169" s="12">
        <v>0</v>
      </c>
      <c r="AB169" s="12"/>
      <c r="AC169" s="12">
        <f t="shared" si="3"/>
        <v>331011.69</v>
      </c>
    </row>
    <row r="170" spans="1:29" s="11" customFormat="1" ht="12">
      <c r="A170" s="11" t="s">
        <v>338</v>
      </c>
      <c r="C170" s="11" t="s">
        <v>159</v>
      </c>
      <c r="E170" s="12">
        <v>60929.25</v>
      </c>
      <c r="F170" s="12"/>
      <c r="G170" s="12">
        <v>9589.21</v>
      </c>
      <c r="H170" s="12"/>
      <c r="I170" s="12">
        <v>30892.67</v>
      </c>
      <c r="J170" s="12"/>
      <c r="K170" s="12">
        <v>25541.78</v>
      </c>
      <c r="L170" s="12"/>
      <c r="M170" s="12">
        <v>3529.04</v>
      </c>
      <c r="N170" s="12"/>
      <c r="O170" s="12">
        <v>567.82</v>
      </c>
      <c r="P170" s="12"/>
      <c r="Q170" s="12">
        <v>12158.12</v>
      </c>
      <c r="R170" s="12"/>
      <c r="S170" s="12">
        <v>0</v>
      </c>
      <c r="T170" s="12"/>
      <c r="U170" s="12">
        <v>0</v>
      </c>
      <c r="V170" s="12"/>
      <c r="W170" s="12">
        <v>0</v>
      </c>
      <c r="X170" s="12"/>
      <c r="Y170" s="12">
        <v>0</v>
      </c>
      <c r="Z170" s="12"/>
      <c r="AA170" s="12">
        <v>0</v>
      </c>
      <c r="AB170" s="12"/>
      <c r="AC170" s="12">
        <f t="shared" si="3"/>
        <v>143207.88999999998</v>
      </c>
    </row>
    <row r="171" spans="1:30" s="11" customFormat="1" ht="12">
      <c r="A171" s="11" t="s">
        <v>339</v>
      </c>
      <c r="C171" s="11" t="s">
        <v>134</v>
      </c>
      <c r="E171" s="12">
        <v>2418595</v>
      </c>
      <c r="F171" s="12"/>
      <c r="G171" s="12">
        <v>649106</v>
      </c>
      <c r="H171" s="12"/>
      <c r="I171" s="12">
        <v>620649</v>
      </c>
      <c r="J171" s="12"/>
      <c r="K171" s="12">
        <v>592761</v>
      </c>
      <c r="L171" s="12"/>
      <c r="M171" s="12">
        <v>105375</v>
      </c>
      <c r="N171" s="12"/>
      <c r="O171" s="12">
        <v>19007</v>
      </c>
      <c r="P171" s="12"/>
      <c r="Q171" s="12">
        <v>299669</v>
      </c>
      <c r="R171" s="12"/>
      <c r="S171" s="12">
        <v>0</v>
      </c>
      <c r="T171" s="12"/>
      <c r="U171" s="12">
        <v>0</v>
      </c>
      <c r="V171" s="12"/>
      <c r="W171" s="12">
        <v>0</v>
      </c>
      <c r="X171" s="12"/>
      <c r="Y171" s="12">
        <v>0</v>
      </c>
      <c r="Z171" s="12"/>
      <c r="AA171" s="12">
        <v>0</v>
      </c>
      <c r="AB171" s="12"/>
      <c r="AC171" s="12">
        <f t="shared" si="3"/>
        <v>4705162</v>
      </c>
      <c r="AD171" s="12"/>
    </row>
    <row r="172" spans="1:29" s="11" customFormat="1" ht="12">
      <c r="A172" s="11" t="s">
        <v>340</v>
      </c>
      <c r="C172" s="11" t="s">
        <v>117</v>
      </c>
      <c r="E172" s="12">
        <v>153287.57</v>
      </c>
      <c r="F172" s="12"/>
      <c r="G172" s="12">
        <v>42845.03</v>
      </c>
      <c r="H172" s="12"/>
      <c r="I172" s="12">
        <v>53831.82</v>
      </c>
      <c r="J172" s="12"/>
      <c r="K172" s="12">
        <v>48820.43</v>
      </c>
      <c r="L172" s="12"/>
      <c r="M172" s="12">
        <v>8962.55</v>
      </c>
      <c r="N172" s="12"/>
      <c r="O172" s="12">
        <v>7127.91</v>
      </c>
      <c r="P172" s="12"/>
      <c r="Q172" s="12">
        <v>0</v>
      </c>
      <c r="R172" s="12"/>
      <c r="S172" s="12">
        <v>0</v>
      </c>
      <c r="T172" s="12"/>
      <c r="U172" s="12">
        <v>0</v>
      </c>
      <c r="V172" s="12"/>
      <c r="W172" s="12">
        <v>26729.16</v>
      </c>
      <c r="X172" s="12"/>
      <c r="Y172" s="12">
        <v>0</v>
      </c>
      <c r="Z172" s="12"/>
      <c r="AA172" s="12">
        <v>0</v>
      </c>
      <c r="AB172" s="12"/>
      <c r="AC172" s="12">
        <f t="shared" si="3"/>
        <v>341604.47</v>
      </c>
    </row>
    <row r="173" spans="1:29" s="11" customFormat="1" ht="12">
      <c r="A173" s="11" t="s">
        <v>341</v>
      </c>
      <c r="C173" s="11" t="s">
        <v>149</v>
      </c>
      <c r="E173" s="12">
        <v>379714</v>
      </c>
      <c r="F173" s="12"/>
      <c r="G173" s="12">
        <v>156288</v>
      </c>
      <c r="H173" s="12"/>
      <c r="I173" s="12">
        <v>77902</v>
      </c>
      <c r="J173" s="12"/>
      <c r="K173" s="12">
        <v>66111</v>
      </c>
      <c r="L173" s="12"/>
      <c r="M173" s="12">
        <v>17063</v>
      </c>
      <c r="N173" s="12"/>
      <c r="O173" s="12">
        <v>3574</v>
      </c>
      <c r="P173" s="12"/>
      <c r="Q173" s="12">
        <v>9238</v>
      </c>
      <c r="R173" s="12"/>
      <c r="S173" s="12">
        <v>0</v>
      </c>
      <c r="T173" s="12"/>
      <c r="U173" s="12">
        <v>0</v>
      </c>
      <c r="V173" s="12"/>
      <c r="W173" s="12">
        <v>0</v>
      </c>
      <c r="X173" s="12"/>
      <c r="Y173" s="12">
        <v>0</v>
      </c>
      <c r="Z173" s="12"/>
      <c r="AA173" s="12">
        <v>0</v>
      </c>
      <c r="AB173" s="12"/>
      <c r="AC173" s="12">
        <f t="shared" si="3"/>
        <v>709890</v>
      </c>
    </row>
    <row r="174" spans="1:29" s="11" customFormat="1" ht="12">
      <c r="A174" s="11" t="s">
        <v>342</v>
      </c>
      <c r="C174" s="11" t="s">
        <v>343</v>
      </c>
      <c r="E174" s="12">
        <f>245031+27833+11080</f>
        <v>283944</v>
      </c>
      <c r="F174" s="12"/>
      <c r="G174" s="12">
        <v>0</v>
      </c>
      <c r="H174" s="12"/>
      <c r="I174" s="12">
        <f>17810+531+2289+2739+54902+18857+98619+140164</f>
        <v>335911</v>
      </c>
      <c r="J174" s="12"/>
      <c r="K174" s="12">
        <f>10020+1259+20542+970</f>
        <v>32791</v>
      </c>
      <c r="L174" s="12"/>
      <c r="M174" s="12">
        <v>4351</v>
      </c>
      <c r="N174" s="12"/>
      <c r="O174" s="12">
        <v>2099</v>
      </c>
      <c r="P174" s="12"/>
      <c r="Q174" s="12">
        <f>17760+14522</f>
        <v>32282</v>
      </c>
      <c r="R174" s="12"/>
      <c r="S174" s="12">
        <v>0</v>
      </c>
      <c r="T174" s="12"/>
      <c r="U174" s="12">
        <v>0</v>
      </c>
      <c r="V174" s="12"/>
      <c r="W174" s="12">
        <v>64510</v>
      </c>
      <c r="X174" s="12"/>
      <c r="Y174" s="12">
        <v>0</v>
      </c>
      <c r="Z174" s="12"/>
      <c r="AA174" s="12">
        <v>0</v>
      </c>
      <c r="AB174" s="12"/>
      <c r="AC174" s="12">
        <f t="shared" si="3"/>
        <v>755888</v>
      </c>
    </row>
    <row r="175" spans="1:29" s="11" customFormat="1" ht="12">
      <c r="A175" s="11" t="s">
        <v>344</v>
      </c>
      <c r="C175" s="11" t="s">
        <v>135</v>
      </c>
      <c r="E175" s="12">
        <v>94129.74</v>
      </c>
      <c r="F175" s="12"/>
      <c r="G175" s="12">
        <v>13935.03</v>
      </c>
      <c r="H175" s="12"/>
      <c r="I175" s="12">
        <v>33106.85</v>
      </c>
      <c r="J175" s="12"/>
      <c r="K175" s="12">
        <v>23516.32</v>
      </c>
      <c r="L175" s="12"/>
      <c r="M175" s="12">
        <v>5340.81</v>
      </c>
      <c r="N175" s="12"/>
      <c r="O175" s="12">
        <v>376</v>
      </c>
      <c r="P175" s="12"/>
      <c r="Q175" s="12">
        <v>14158.13</v>
      </c>
      <c r="R175" s="12"/>
      <c r="S175" s="12">
        <v>0</v>
      </c>
      <c r="T175" s="12"/>
      <c r="U175" s="12">
        <v>0</v>
      </c>
      <c r="V175" s="12"/>
      <c r="W175" s="12">
        <v>0</v>
      </c>
      <c r="X175" s="12"/>
      <c r="Y175" s="12">
        <v>0</v>
      </c>
      <c r="Z175" s="12"/>
      <c r="AA175" s="12">
        <v>0</v>
      </c>
      <c r="AB175" s="12"/>
      <c r="AC175" s="12">
        <f t="shared" si="3"/>
        <v>184562.88</v>
      </c>
    </row>
    <row r="176" spans="1:29" s="11" customFormat="1" ht="12">
      <c r="A176" s="11" t="s">
        <v>345</v>
      </c>
      <c r="C176" s="11" t="s">
        <v>158</v>
      </c>
      <c r="E176" s="12">
        <v>241063.37</v>
      </c>
      <c r="F176" s="12"/>
      <c r="G176" s="12">
        <v>92126.27</v>
      </c>
      <c r="H176" s="12"/>
      <c r="I176" s="12">
        <v>46847.45</v>
      </c>
      <c r="J176" s="12"/>
      <c r="K176" s="12">
        <v>46816.61</v>
      </c>
      <c r="L176" s="12"/>
      <c r="M176" s="12">
        <v>9920.98</v>
      </c>
      <c r="N176" s="12"/>
      <c r="O176" s="12">
        <v>3996.31</v>
      </c>
      <c r="P176" s="12"/>
      <c r="Q176" s="12">
        <v>1021.99</v>
      </c>
      <c r="R176" s="12"/>
      <c r="S176" s="12">
        <v>0</v>
      </c>
      <c r="T176" s="12"/>
      <c r="U176" s="12">
        <v>0</v>
      </c>
      <c r="V176" s="12"/>
      <c r="W176" s="12">
        <v>0</v>
      </c>
      <c r="X176" s="12"/>
      <c r="Y176" s="12">
        <v>0</v>
      </c>
      <c r="Z176" s="12"/>
      <c r="AA176" s="12">
        <v>0</v>
      </c>
      <c r="AB176" s="12"/>
      <c r="AC176" s="12">
        <f t="shared" si="3"/>
        <v>441792.98</v>
      </c>
    </row>
    <row r="177" spans="1:29" s="11" customFormat="1" ht="12">
      <c r="A177" s="11" t="s">
        <v>346</v>
      </c>
      <c r="C177" s="11" t="s">
        <v>116</v>
      </c>
      <c r="E177" s="12">
        <v>956014</v>
      </c>
      <c r="F177" s="12"/>
      <c r="G177" s="12">
        <v>182857</v>
      </c>
      <c r="H177" s="12"/>
      <c r="I177" s="12">
        <v>190409</v>
      </c>
      <c r="J177" s="12"/>
      <c r="K177" s="12">
        <v>306546</v>
      </c>
      <c r="L177" s="12"/>
      <c r="M177" s="12">
        <v>55895</v>
      </c>
      <c r="N177" s="12"/>
      <c r="O177" s="12">
        <v>12515</v>
      </c>
      <c r="P177" s="12"/>
      <c r="Q177" s="12">
        <v>17675</v>
      </c>
      <c r="R177" s="12"/>
      <c r="S177" s="12">
        <v>0</v>
      </c>
      <c r="T177" s="12"/>
      <c r="U177" s="12">
        <v>0</v>
      </c>
      <c r="V177" s="12"/>
      <c r="W177" s="12">
        <v>100000</v>
      </c>
      <c r="X177" s="12"/>
      <c r="Y177" s="12">
        <v>0</v>
      </c>
      <c r="Z177" s="12"/>
      <c r="AA177" s="12">
        <v>0</v>
      </c>
      <c r="AB177" s="12"/>
      <c r="AC177" s="12">
        <f t="shared" si="3"/>
        <v>1821911</v>
      </c>
    </row>
    <row r="178" spans="1:29" s="11" customFormat="1" ht="12">
      <c r="A178" s="11" t="s">
        <v>347</v>
      </c>
      <c r="C178" s="11" t="s">
        <v>158</v>
      </c>
      <c r="E178" s="12">
        <v>5600</v>
      </c>
      <c r="F178" s="12"/>
      <c r="G178" s="12">
        <v>5058</v>
      </c>
      <c r="H178" s="12"/>
      <c r="I178" s="12">
        <v>11800</v>
      </c>
      <c r="J178" s="12"/>
      <c r="K178" s="12">
        <v>7754</v>
      </c>
      <c r="L178" s="12"/>
      <c r="M178" s="12">
        <v>524</v>
      </c>
      <c r="N178" s="12"/>
      <c r="O178" s="12">
        <v>1300</v>
      </c>
      <c r="P178" s="12"/>
      <c r="Q178" s="12">
        <v>0</v>
      </c>
      <c r="R178" s="12"/>
      <c r="S178" s="12">
        <v>0</v>
      </c>
      <c r="T178" s="12"/>
      <c r="U178" s="12">
        <v>0</v>
      </c>
      <c r="V178" s="12"/>
      <c r="W178" s="12">
        <v>0</v>
      </c>
      <c r="X178" s="12"/>
      <c r="Y178" s="12">
        <v>0</v>
      </c>
      <c r="Z178" s="12"/>
      <c r="AA178" s="12">
        <v>0</v>
      </c>
      <c r="AB178" s="12"/>
      <c r="AC178" s="12">
        <f t="shared" si="3"/>
        <v>32036</v>
      </c>
    </row>
    <row r="179" spans="1:29" s="11" customFormat="1" ht="12">
      <c r="A179" s="11" t="s">
        <v>348</v>
      </c>
      <c r="C179" s="11" t="s">
        <v>185</v>
      </c>
      <c r="E179" s="12">
        <v>520034.27</v>
      </c>
      <c r="F179" s="12"/>
      <c r="G179" s="12">
        <v>141674.05</v>
      </c>
      <c r="H179" s="12"/>
      <c r="I179" s="12">
        <v>172622.92</v>
      </c>
      <c r="J179" s="12"/>
      <c r="K179" s="12">
        <v>102115.91</v>
      </c>
      <c r="L179" s="12"/>
      <c r="M179" s="12">
        <v>18063.11</v>
      </c>
      <c r="N179" s="12"/>
      <c r="O179" s="12">
        <v>7243.22</v>
      </c>
      <c r="P179" s="12"/>
      <c r="Q179" s="12">
        <v>8203.73</v>
      </c>
      <c r="R179" s="12"/>
      <c r="S179" s="12">
        <v>0</v>
      </c>
      <c r="T179" s="12"/>
      <c r="U179" s="12">
        <v>0</v>
      </c>
      <c r="V179" s="12"/>
      <c r="W179" s="12">
        <v>99304.48</v>
      </c>
      <c r="X179" s="12"/>
      <c r="Y179" s="12">
        <v>0</v>
      </c>
      <c r="Z179" s="12"/>
      <c r="AA179" s="12">
        <v>0</v>
      </c>
      <c r="AB179" s="12"/>
      <c r="AC179" s="12">
        <f t="shared" si="3"/>
        <v>1069261.6900000002</v>
      </c>
    </row>
    <row r="180" spans="1:29" s="11" customFormat="1" ht="12">
      <c r="A180" s="11" t="s">
        <v>349</v>
      </c>
      <c r="C180" s="11" t="s">
        <v>266</v>
      </c>
      <c r="E180" s="12">
        <v>143070</v>
      </c>
      <c r="F180" s="12"/>
      <c r="G180" s="12">
        <v>39732</v>
      </c>
      <c r="H180" s="12"/>
      <c r="I180" s="12">
        <v>32993</v>
      </c>
      <c r="J180" s="12"/>
      <c r="K180" s="12">
        <v>64851</v>
      </c>
      <c r="L180" s="12"/>
      <c r="M180" s="12">
        <v>12398</v>
      </c>
      <c r="N180" s="12"/>
      <c r="O180" s="12">
        <v>4669</v>
      </c>
      <c r="P180" s="12"/>
      <c r="Q180" s="12">
        <v>8501</v>
      </c>
      <c r="R180" s="12"/>
      <c r="S180" s="12">
        <v>0</v>
      </c>
      <c r="T180" s="12"/>
      <c r="U180" s="12">
        <v>0</v>
      </c>
      <c r="V180" s="12"/>
      <c r="W180" s="12">
        <v>0</v>
      </c>
      <c r="X180" s="12"/>
      <c r="Y180" s="12">
        <v>0</v>
      </c>
      <c r="Z180" s="12"/>
      <c r="AA180" s="12">
        <v>0</v>
      </c>
      <c r="AB180" s="12"/>
      <c r="AC180" s="12">
        <f t="shared" si="3"/>
        <v>306214</v>
      </c>
    </row>
    <row r="181" spans="1:29" s="11" customFormat="1" ht="12">
      <c r="A181" s="11" t="s">
        <v>350</v>
      </c>
      <c r="C181" s="11" t="s">
        <v>282</v>
      </c>
      <c r="E181" s="12">
        <v>113463</v>
      </c>
      <c r="F181" s="12"/>
      <c r="G181" s="12">
        <v>238</v>
      </c>
      <c r="H181" s="12"/>
      <c r="I181" s="12">
        <v>62649</v>
      </c>
      <c r="J181" s="12"/>
      <c r="K181" s="12">
        <v>29545</v>
      </c>
      <c r="L181" s="12"/>
      <c r="M181" s="12">
        <v>5338</v>
      </c>
      <c r="N181" s="12"/>
      <c r="O181" s="12">
        <v>2766</v>
      </c>
      <c r="P181" s="12"/>
      <c r="Q181" s="12">
        <v>16290</v>
      </c>
      <c r="R181" s="12"/>
      <c r="S181" s="12">
        <v>0</v>
      </c>
      <c r="T181" s="12"/>
      <c r="U181" s="12">
        <v>0</v>
      </c>
      <c r="V181" s="12"/>
      <c r="W181" s="12">
        <v>0</v>
      </c>
      <c r="X181" s="12"/>
      <c r="Y181" s="12">
        <v>0</v>
      </c>
      <c r="Z181" s="12"/>
      <c r="AA181" s="12">
        <v>0</v>
      </c>
      <c r="AB181" s="12"/>
      <c r="AC181" s="12">
        <f t="shared" si="3"/>
        <v>230289</v>
      </c>
    </row>
    <row r="182" spans="1:29" s="11" customFormat="1" ht="12">
      <c r="A182" s="11" t="s">
        <v>351</v>
      </c>
      <c r="C182" s="11" t="s">
        <v>150</v>
      </c>
      <c r="E182" s="12">
        <v>461380.3</v>
      </c>
      <c r="F182" s="12"/>
      <c r="G182" s="12">
        <v>150200.61</v>
      </c>
      <c r="H182" s="12"/>
      <c r="I182" s="12">
        <v>166356.11</v>
      </c>
      <c r="J182" s="12"/>
      <c r="K182" s="12">
        <v>182998.36</v>
      </c>
      <c r="L182" s="12"/>
      <c r="M182" s="12">
        <v>18482.53</v>
      </c>
      <c r="N182" s="12"/>
      <c r="O182" s="12">
        <v>2285.65</v>
      </c>
      <c r="P182" s="12"/>
      <c r="Q182" s="12">
        <v>14848.65</v>
      </c>
      <c r="R182" s="12"/>
      <c r="S182" s="12">
        <v>0</v>
      </c>
      <c r="T182" s="12"/>
      <c r="U182" s="12">
        <v>0</v>
      </c>
      <c r="V182" s="12"/>
      <c r="W182" s="12">
        <v>150000</v>
      </c>
      <c r="X182" s="12"/>
      <c r="Y182" s="12">
        <v>0</v>
      </c>
      <c r="Z182" s="12"/>
      <c r="AA182" s="12">
        <v>0</v>
      </c>
      <c r="AB182" s="12"/>
      <c r="AC182" s="12">
        <f t="shared" si="3"/>
        <v>1146552.21</v>
      </c>
    </row>
    <row r="183" spans="1:29" s="11" customFormat="1" ht="12">
      <c r="A183" s="11" t="s">
        <v>352</v>
      </c>
      <c r="C183" s="11" t="s">
        <v>282</v>
      </c>
      <c r="E183" s="12">
        <v>500</v>
      </c>
      <c r="F183" s="12"/>
      <c r="G183" s="12">
        <v>0</v>
      </c>
      <c r="H183" s="12"/>
      <c r="I183" s="12">
        <v>27201</v>
      </c>
      <c r="J183" s="12"/>
      <c r="K183" s="12">
        <v>726</v>
      </c>
      <c r="L183" s="12"/>
      <c r="M183" s="12">
        <v>1240</v>
      </c>
      <c r="N183" s="12"/>
      <c r="O183" s="12">
        <v>630</v>
      </c>
      <c r="P183" s="12"/>
      <c r="Q183" s="12">
        <v>315</v>
      </c>
      <c r="R183" s="12"/>
      <c r="S183" s="12">
        <v>0</v>
      </c>
      <c r="T183" s="12"/>
      <c r="U183" s="12">
        <v>0</v>
      </c>
      <c r="V183" s="12"/>
      <c r="W183" s="12">
        <v>0</v>
      </c>
      <c r="X183" s="12"/>
      <c r="Y183" s="12">
        <v>0</v>
      </c>
      <c r="Z183" s="12"/>
      <c r="AA183" s="12">
        <v>0</v>
      </c>
      <c r="AB183" s="12"/>
      <c r="AC183" s="12">
        <f t="shared" si="3"/>
        <v>30612</v>
      </c>
    </row>
    <row r="184" spans="1:29" s="11" customFormat="1" ht="12">
      <c r="A184" s="11" t="s">
        <v>353</v>
      </c>
      <c r="C184" s="11" t="s">
        <v>354</v>
      </c>
      <c r="E184" s="12">
        <v>358489</v>
      </c>
      <c r="F184" s="12"/>
      <c r="G184" s="12">
        <v>231065</v>
      </c>
      <c r="H184" s="12"/>
      <c r="I184" s="12">
        <v>135540</v>
      </c>
      <c r="J184" s="12"/>
      <c r="K184" s="12">
        <v>176228</v>
      </c>
      <c r="L184" s="12"/>
      <c r="M184" s="12">
        <v>22775</v>
      </c>
      <c r="N184" s="12"/>
      <c r="O184" s="12">
        <v>10600</v>
      </c>
      <c r="P184" s="12"/>
      <c r="Q184" s="12">
        <v>13743</v>
      </c>
      <c r="R184" s="12"/>
      <c r="S184" s="12">
        <v>0</v>
      </c>
      <c r="T184" s="12"/>
      <c r="U184" s="12">
        <v>0</v>
      </c>
      <c r="V184" s="12"/>
      <c r="W184" s="12">
        <v>0</v>
      </c>
      <c r="X184" s="12"/>
      <c r="Y184" s="12">
        <v>0</v>
      </c>
      <c r="Z184" s="12"/>
      <c r="AA184" s="12">
        <v>0</v>
      </c>
      <c r="AB184" s="12"/>
      <c r="AC184" s="12">
        <f t="shared" si="3"/>
        <v>948440</v>
      </c>
    </row>
    <row r="185" spans="1:29" s="11" customFormat="1" ht="12">
      <c r="A185" s="11" t="s">
        <v>355</v>
      </c>
      <c r="C185" s="11" t="s">
        <v>134</v>
      </c>
      <c r="E185" s="12">
        <v>396979.51</v>
      </c>
      <c r="F185" s="12"/>
      <c r="G185" s="12">
        <v>97428.55</v>
      </c>
      <c r="H185" s="12"/>
      <c r="I185" s="12">
        <v>30327.47</v>
      </c>
      <c r="J185" s="12"/>
      <c r="K185" s="12">
        <v>132306.64</v>
      </c>
      <c r="L185" s="12"/>
      <c r="M185" s="12">
        <v>17813.68</v>
      </c>
      <c r="N185" s="12"/>
      <c r="O185" s="12">
        <v>2463.74</v>
      </c>
      <c r="P185" s="12"/>
      <c r="Q185" s="12">
        <v>6994.09</v>
      </c>
      <c r="R185" s="12"/>
      <c r="S185" s="12">
        <v>0</v>
      </c>
      <c r="T185" s="12"/>
      <c r="U185" s="12">
        <v>0</v>
      </c>
      <c r="V185" s="12"/>
      <c r="W185" s="12">
        <v>0</v>
      </c>
      <c r="X185" s="12"/>
      <c r="Y185" s="12">
        <v>0</v>
      </c>
      <c r="Z185" s="12"/>
      <c r="AA185" s="12">
        <v>0</v>
      </c>
      <c r="AB185" s="12"/>
      <c r="AC185" s="12">
        <f t="shared" si="3"/>
        <v>684313.68</v>
      </c>
    </row>
    <row r="186" spans="1:29" s="11" customFormat="1" ht="12">
      <c r="A186" s="11" t="s">
        <v>356</v>
      </c>
      <c r="C186" s="11" t="s">
        <v>153</v>
      </c>
      <c r="E186" s="12">
        <v>151243.08</v>
      </c>
      <c r="F186" s="12"/>
      <c r="G186" s="12">
        <v>22072.89</v>
      </c>
      <c r="H186" s="12"/>
      <c r="I186" s="12">
        <v>26006.48</v>
      </c>
      <c r="J186" s="12"/>
      <c r="K186" s="12">
        <v>38246</v>
      </c>
      <c r="L186" s="12"/>
      <c r="M186" s="12">
        <v>11159.24</v>
      </c>
      <c r="N186" s="12"/>
      <c r="O186" s="12">
        <v>3346.7</v>
      </c>
      <c r="P186" s="12"/>
      <c r="Q186" s="12">
        <v>5184.35</v>
      </c>
      <c r="R186" s="12"/>
      <c r="S186" s="12">
        <v>0</v>
      </c>
      <c r="T186" s="12"/>
      <c r="U186" s="12">
        <v>0</v>
      </c>
      <c r="V186" s="12"/>
      <c r="W186" s="12">
        <v>0</v>
      </c>
      <c r="X186" s="12"/>
      <c r="Y186" s="12">
        <v>0</v>
      </c>
      <c r="Z186" s="12"/>
      <c r="AA186" s="12">
        <v>0</v>
      </c>
      <c r="AB186" s="12"/>
      <c r="AC186" s="12">
        <f t="shared" si="3"/>
        <v>257258.74</v>
      </c>
    </row>
    <row r="187" spans="1:29" s="11" customFormat="1" ht="12">
      <c r="A187" s="11" t="s">
        <v>357</v>
      </c>
      <c r="C187" s="11" t="s">
        <v>358</v>
      </c>
      <c r="E187" s="12">
        <v>477289</v>
      </c>
      <c r="F187" s="12"/>
      <c r="G187" s="12">
        <v>132402</v>
      </c>
      <c r="H187" s="12"/>
      <c r="I187" s="12">
        <v>108786</v>
      </c>
      <c r="J187" s="12"/>
      <c r="K187" s="12">
        <v>67173</v>
      </c>
      <c r="L187" s="12"/>
      <c r="M187" s="12">
        <v>20897</v>
      </c>
      <c r="N187" s="12"/>
      <c r="O187" s="12">
        <v>8194</v>
      </c>
      <c r="P187" s="12"/>
      <c r="Q187" s="12">
        <v>237473</v>
      </c>
      <c r="R187" s="12"/>
      <c r="S187" s="12">
        <v>0</v>
      </c>
      <c r="T187" s="12"/>
      <c r="U187" s="12">
        <v>0</v>
      </c>
      <c r="V187" s="12"/>
      <c r="W187" s="12">
        <v>0</v>
      </c>
      <c r="X187" s="12"/>
      <c r="Y187" s="12">
        <v>0</v>
      </c>
      <c r="Z187" s="12"/>
      <c r="AA187" s="12">
        <v>0</v>
      </c>
      <c r="AB187" s="12"/>
      <c r="AC187" s="12">
        <f t="shared" si="3"/>
        <v>1052214</v>
      </c>
    </row>
    <row r="188" spans="1:29" s="11" customFormat="1" ht="12">
      <c r="A188" s="11" t="s">
        <v>359</v>
      </c>
      <c r="C188" s="11" t="s">
        <v>358</v>
      </c>
      <c r="E188" s="12">
        <v>39403</v>
      </c>
      <c r="F188" s="12"/>
      <c r="G188" s="12">
        <f>9371+2141+2717</f>
        <v>14229</v>
      </c>
      <c r="H188" s="12"/>
      <c r="I188" s="12">
        <v>396</v>
      </c>
      <c r="J188" s="12"/>
      <c r="K188" s="12">
        <v>0</v>
      </c>
      <c r="L188" s="12"/>
      <c r="M188" s="12">
        <v>39</v>
      </c>
      <c r="N188" s="12"/>
      <c r="O188" s="12">
        <v>0</v>
      </c>
      <c r="P188" s="12"/>
      <c r="Q188" s="12">
        <f>55906-39-396-14229-39403</f>
        <v>1839</v>
      </c>
      <c r="R188" s="12"/>
      <c r="S188" s="12">
        <v>0</v>
      </c>
      <c r="T188" s="12"/>
      <c r="U188" s="12">
        <v>0</v>
      </c>
      <c r="V188" s="12"/>
      <c r="W188" s="12">
        <v>0</v>
      </c>
      <c r="X188" s="12"/>
      <c r="Y188" s="12">
        <v>0</v>
      </c>
      <c r="Z188" s="12"/>
      <c r="AA188" s="12">
        <v>0</v>
      </c>
      <c r="AB188" s="12"/>
      <c r="AC188" s="12">
        <f t="shared" si="3"/>
        <v>55906</v>
      </c>
    </row>
    <row r="189" spans="1:29" s="11" customFormat="1" ht="12">
      <c r="A189" s="11" t="s">
        <v>360</v>
      </c>
      <c r="C189" s="11" t="s">
        <v>158</v>
      </c>
      <c r="E189" s="12">
        <v>188282.21</v>
      </c>
      <c r="F189" s="12"/>
      <c r="G189" s="12">
        <v>45845.42</v>
      </c>
      <c r="H189" s="12"/>
      <c r="I189" s="12">
        <v>49351.36</v>
      </c>
      <c r="J189" s="12"/>
      <c r="K189" s="12">
        <v>53564.23</v>
      </c>
      <c r="L189" s="12"/>
      <c r="M189" s="12">
        <v>8370.1</v>
      </c>
      <c r="N189" s="12"/>
      <c r="O189" s="12">
        <v>1570.77</v>
      </c>
      <c r="P189" s="12"/>
      <c r="Q189" s="12">
        <v>3654.7</v>
      </c>
      <c r="R189" s="12"/>
      <c r="S189" s="12">
        <v>0</v>
      </c>
      <c r="T189" s="12"/>
      <c r="U189" s="12">
        <v>0</v>
      </c>
      <c r="V189" s="12"/>
      <c r="W189" s="12">
        <v>50000</v>
      </c>
      <c r="X189" s="12"/>
      <c r="Y189" s="12">
        <v>0</v>
      </c>
      <c r="Z189" s="12"/>
      <c r="AA189" s="12">
        <v>0</v>
      </c>
      <c r="AB189" s="12"/>
      <c r="AC189" s="12">
        <f t="shared" si="3"/>
        <v>400638.79</v>
      </c>
    </row>
    <row r="190" spans="1:29" s="11" customFormat="1" ht="12">
      <c r="A190" s="11" t="s">
        <v>361</v>
      </c>
      <c r="C190" s="11" t="s">
        <v>113</v>
      </c>
      <c r="E190" s="12">
        <v>235413.1</v>
      </c>
      <c r="F190" s="12"/>
      <c r="G190" s="12">
        <v>43438.55</v>
      </c>
      <c r="H190" s="12"/>
      <c r="I190" s="12">
        <v>111688.43</v>
      </c>
      <c r="J190" s="12"/>
      <c r="K190" s="12">
        <v>59075.01</v>
      </c>
      <c r="L190" s="12"/>
      <c r="M190" s="12">
        <v>6224.41</v>
      </c>
      <c r="N190" s="12"/>
      <c r="O190" s="12">
        <v>3030.55</v>
      </c>
      <c r="P190" s="12"/>
      <c r="Q190" s="12">
        <v>13391.49</v>
      </c>
      <c r="R190" s="12"/>
      <c r="S190" s="12">
        <v>0</v>
      </c>
      <c r="T190" s="12"/>
      <c r="U190" s="12">
        <v>0</v>
      </c>
      <c r="V190" s="12"/>
      <c r="W190" s="12">
        <v>0</v>
      </c>
      <c r="X190" s="12"/>
      <c r="Y190" s="12">
        <v>0</v>
      </c>
      <c r="Z190" s="12"/>
      <c r="AA190" s="12">
        <v>0</v>
      </c>
      <c r="AB190" s="12"/>
      <c r="AC190" s="12">
        <f t="shared" si="3"/>
        <v>472261.54</v>
      </c>
    </row>
    <row r="191" spans="1:29" s="11" customFormat="1" ht="12">
      <c r="A191" s="11" t="s">
        <v>362</v>
      </c>
      <c r="C191" s="11" t="s">
        <v>159</v>
      </c>
      <c r="E191" s="12">
        <v>565589.07</v>
      </c>
      <c r="F191" s="12"/>
      <c r="G191" s="12">
        <v>129807.41</v>
      </c>
      <c r="H191" s="12"/>
      <c r="I191" s="12">
        <v>305878.61</v>
      </c>
      <c r="J191" s="12"/>
      <c r="K191" s="12">
        <v>198955.86</v>
      </c>
      <c r="L191" s="12"/>
      <c r="M191" s="12">
        <v>42297.6</v>
      </c>
      <c r="N191" s="12"/>
      <c r="O191" s="12">
        <v>36118.28</v>
      </c>
      <c r="P191" s="12"/>
      <c r="Q191" s="12">
        <v>57944.55</v>
      </c>
      <c r="R191" s="12"/>
      <c r="S191" s="12">
        <v>0</v>
      </c>
      <c r="T191" s="12"/>
      <c r="U191" s="12">
        <v>0</v>
      </c>
      <c r="V191" s="12"/>
      <c r="W191" s="12">
        <v>0</v>
      </c>
      <c r="X191" s="12"/>
      <c r="Y191" s="12">
        <v>200</v>
      </c>
      <c r="Z191" s="12"/>
      <c r="AA191" s="12">
        <v>0</v>
      </c>
      <c r="AB191" s="12"/>
      <c r="AC191" s="12">
        <f t="shared" si="3"/>
        <v>1336791.3800000001</v>
      </c>
    </row>
    <row r="192" spans="1:29" s="11" customFormat="1" ht="12">
      <c r="A192" s="11" t="s">
        <v>363</v>
      </c>
      <c r="C192" s="11" t="s">
        <v>161</v>
      </c>
      <c r="E192" s="12">
        <v>85861</v>
      </c>
      <c r="F192" s="12"/>
      <c r="G192" s="12">
        <v>13174</v>
      </c>
      <c r="H192" s="12"/>
      <c r="I192" s="12">
        <v>29218</v>
      </c>
      <c r="J192" s="12"/>
      <c r="K192" s="12">
        <v>18281</v>
      </c>
      <c r="L192" s="12"/>
      <c r="M192" s="12">
        <v>6020</v>
      </c>
      <c r="N192" s="12"/>
      <c r="O192" s="12">
        <v>1062</v>
      </c>
      <c r="P192" s="12"/>
      <c r="Q192" s="12">
        <v>258890</v>
      </c>
      <c r="R192" s="12"/>
      <c r="S192" s="12">
        <v>0</v>
      </c>
      <c r="T192" s="12"/>
      <c r="U192" s="12">
        <v>0</v>
      </c>
      <c r="V192" s="12"/>
      <c r="W192" s="12">
        <v>0</v>
      </c>
      <c r="X192" s="12"/>
      <c r="Y192" s="12">
        <v>0</v>
      </c>
      <c r="Z192" s="12"/>
      <c r="AA192" s="12">
        <v>0</v>
      </c>
      <c r="AB192" s="12"/>
      <c r="AC192" s="12">
        <f t="shared" si="3"/>
        <v>412506</v>
      </c>
    </row>
    <row r="193" spans="1:29" s="11" customFormat="1" ht="12">
      <c r="A193" s="11" t="s">
        <v>364</v>
      </c>
      <c r="C193" s="11" t="s">
        <v>159</v>
      </c>
      <c r="E193" s="12">
        <v>1460</v>
      </c>
      <c r="F193" s="12"/>
      <c r="G193" s="12">
        <v>0</v>
      </c>
      <c r="H193" s="12"/>
      <c r="I193" s="12">
        <v>650</v>
      </c>
      <c r="J193" s="12"/>
      <c r="K193" s="12">
        <v>0</v>
      </c>
      <c r="L193" s="12"/>
      <c r="M193" s="12">
        <v>74951</v>
      </c>
      <c r="N193" s="12"/>
      <c r="O193" s="12">
        <v>0</v>
      </c>
      <c r="P193" s="12"/>
      <c r="Q193" s="12">
        <v>0</v>
      </c>
      <c r="R193" s="12"/>
      <c r="S193" s="12">
        <v>0</v>
      </c>
      <c r="T193" s="12"/>
      <c r="U193" s="12">
        <v>0</v>
      </c>
      <c r="V193" s="12"/>
      <c r="W193" s="12">
        <v>0</v>
      </c>
      <c r="X193" s="12"/>
      <c r="Y193" s="12">
        <v>0</v>
      </c>
      <c r="Z193" s="12"/>
      <c r="AA193" s="12">
        <v>0</v>
      </c>
      <c r="AB193" s="12"/>
      <c r="AC193" s="12">
        <f t="shared" si="3"/>
        <v>77061</v>
      </c>
    </row>
    <row r="194" spans="1:29" s="11" customFormat="1" ht="12">
      <c r="A194" s="11" t="s">
        <v>365</v>
      </c>
      <c r="C194" s="11" t="s">
        <v>106</v>
      </c>
      <c r="E194" s="12">
        <v>421542.39</v>
      </c>
      <c r="F194" s="12"/>
      <c r="G194" s="12">
        <v>136619.63</v>
      </c>
      <c r="H194" s="12"/>
      <c r="I194" s="12">
        <v>105791.6</v>
      </c>
      <c r="J194" s="12"/>
      <c r="K194" s="12">
        <v>100328.88</v>
      </c>
      <c r="L194" s="12"/>
      <c r="M194" s="12">
        <v>15129.94</v>
      </c>
      <c r="N194" s="12"/>
      <c r="O194" s="12">
        <v>8626.71</v>
      </c>
      <c r="P194" s="12"/>
      <c r="Q194" s="12">
        <v>79832.78</v>
      </c>
      <c r="R194" s="12"/>
      <c r="S194" s="12">
        <v>0</v>
      </c>
      <c r="T194" s="12"/>
      <c r="U194" s="12">
        <v>0</v>
      </c>
      <c r="V194" s="12"/>
      <c r="W194" s="12">
        <v>20000</v>
      </c>
      <c r="X194" s="12"/>
      <c r="Y194" s="12">
        <v>0</v>
      </c>
      <c r="Z194" s="12"/>
      <c r="AA194" s="12">
        <v>21567.59</v>
      </c>
      <c r="AB194" s="12"/>
      <c r="AC194" s="12">
        <f t="shared" si="3"/>
        <v>909439.5199999999</v>
      </c>
    </row>
    <row r="195" spans="1:29" s="11" customFormat="1" ht="12">
      <c r="A195" s="11" t="s">
        <v>366</v>
      </c>
      <c r="C195" s="11" t="s">
        <v>367</v>
      </c>
      <c r="E195" s="12">
        <v>770383</v>
      </c>
      <c r="F195" s="12"/>
      <c r="G195" s="12">
        <v>327770</v>
      </c>
      <c r="H195" s="12"/>
      <c r="I195" s="12">
        <v>278739</v>
      </c>
      <c r="J195" s="12"/>
      <c r="K195" s="12">
        <v>305307</v>
      </c>
      <c r="L195" s="12"/>
      <c r="M195" s="12">
        <v>50113</v>
      </c>
      <c r="N195" s="12"/>
      <c r="O195" s="12">
        <v>8126</v>
      </c>
      <c r="P195" s="12"/>
      <c r="Q195" s="12">
        <v>118111</v>
      </c>
      <c r="R195" s="12"/>
      <c r="S195" s="12">
        <v>0</v>
      </c>
      <c r="T195" s="12"/>
      <c r="U195" s="12">
        <v>0</v>
      </c>
      <c r="V195" s="12"/>
      <c r="W195" s="12">
        <v>0</v>
      </c>
      <c r="X195" s="12"/>
      <c r="Y195" s="12">
        <v>0</v>
      </c>
      <c r="Z195" s="12"/>
      <c r="AA195" s="12">
        <v>0</v>
      </c>
      <c r="AB195" s="12"/>
      <c r="AC195" s="12">
        <f t="shared" si="3"/>
        <v>1858549</v>
      </c>
    </row>
    <row r="196" spans="1:29" s="11" customFormat="1" ht="12">
      <c r="A196" s="11" t="s">
        <v>368</v>
      </c>
      <c r="C196" s="11" t="s">
        <v>160</v>
      </c>
      <c r="E196" s="12">
        <v>528303.95</v>
      </c>
      <c r="F196" s="12"/>
      <c r="G196" s="12">
        <v>194360.68</v>
      </c>
      <c r="H196" s="12"/>
      <c r="I196" s="12">
        <v>216201.06</v>
      </c>
      <c r="J196" s="12"/>
      <c r="K196" s="12">
        <v>153640.48</v>
      </c>
      <c r="L196" s="12"/>
      <c r="M196" s="12">
        <v>17723.67</v>
      </c>
      <c r="N196" s="12"/>
      <c r="O196" s="12">
        <v>10776.07</v>
      </c>
      <c r="P196" s="12"/>
      <c r="Q196" s="12">
        <v>14032.18</v>
      </c>
      <c r="R196" s="12"/>
      <c r="S196" s="12">
        <v>0</v>
      </c>
      <c r="T196" s="12"/>
      <c r="U196" s="12">
        <v>0</v>
      </c>
      <c r="V196" s="12"/>
      <c r="W196" s="12">
        <v>150000</v>
      </c>
      <c r="X196" s="12"/>
      <c r="Y196" s="12">
        <v>0</v>
      </c>
      <c r="Z196" s="12"/>
      <c r="AA196" s="12">
        <v>0</v>
      </c>
      <c r="AB196" s="12"/>
      <c r="AC196" s="12">
        <f t="shared" si="3"/>
        <v>1285038.0899999999</v>
      </c>
    </row>
    <row r="197" spans="1:29" s="11" customFormat="1" ht="12">
      <c r="A197" s="11" t="s">
        <v>369</v>
      </c>
      <c r="C197" s="11" t="s">
        <v>103</v>
      </c>
      <c r="E197" s="12">
        <v>280852.24</v>
      </c>
      <c r="F197" s="12"/>
      <c r="G197" s="12">
        <v>48038.13</v>
      </c>
      <c r="H197" s="12"/>
      <c r="I197" s="12">
        <v>58183.41</v>
      </c>
      <c r="J197" s="12"/>
      <c r="K197" s="12">
        <v>72585.89</v>
      </c>
      <c r="L197" s="12"/>
      <c r="M197" s="12">
        <v>9636.26</v>
      </c>
      <c r="N197" s="12"/>
      <c r="O197" s="12">
        <v>29370.07</v>
      </c>
      <c r="P197" s="12"/>
      <c r="Q197" s="12">
        <v>10749.66</v>
      </c>
      <c r="R197" s="12"/>
      <c r="S197" s="12">
        <v>0</v>
      </c>
      <c r="T197" s="12"/>
      <c r="U197" s="12">
        <v>0</v>
      </c>
      <c r="V197" s="12"/>
      <c r="W197" s="12">
        <v>0</v>
      </c>
      <c r="X197" s="12"/>
      <c r="Y197" s="12">
        <v>0</v>
      </c>
      <c r="Z197" s="12"/>
      <c r="AA197" s="12">
        <v>0</v>
      </c>
      <c r="AB197" s="12"/>
      <c r="AC197" s="12">
        <f t="shared" si="3"/>
        <v>509415.66000000003</v>
      </c>
    </row>
    <row r="198" spans="1:29" s="11" customFormat="1" ht="12">
      <c r="A198" s="11" t="s">
        <v>370</v>
      </c>
      <c r="C198" s="11" t="s">
        <v>286</v>
      </c>
      <c r="E198" s="12">
        <v>1454400</v>
      </c>
      <c r="F198" s="12"/>
      <c r="G198" s="12">
        <v>457629</v>
      </c>
      <c r="H198" s="12"/>
      <c r="I198" s="12">
        <v>306504</v>
      </c>
      <c r="J198" s="12"/>
      <c r="K198" s="12">
        <v>412483</v>
      </c>
      <c r="L198" s="12"/>
      <c r="M198" s="12">
        <v>57220</v>
      </c>
      <c r="N198" s="12"/>
      <c r="O198" s="12">
        <v>7818</v>
      </c>
      <c r="P198" s="12"/>
      <c r="Q198" s="12">
        <v>41287</v>
      </c>
      <c r="R198" s="12"/>
      <c r="S198" s="12">
        <v>0</v>
      </c>
      <c r="T198" s="12"/>
      <c r="U198" s="12">
        <v>0</v>
      </c>
      <c r="V198" s="12"/>
      <c r="W198" s="12">
        <v>64684</v>
      </c>
      <c r="X198" s="12"/>
      <c r="Y198" s="12">
        <v>0</v>
      </c>
      <c r="Z198" s="12"/>
      <c r="AA198" s="12">
        <v>0</v>
      </c>
      <c r="AB198" s="12"/>
      <c r="AC198" s="12">
        <f t="shared" si="3"/>
        <v>2802025</v>
      </c>
    </row>
    <row r="199" spans="5:29" s="11" customFormat="1" ht="12"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B199" s="12"/>
      <c r="AC199" s="27" t="s">
        <v>98</v>
      </c>
    </row>
    <row r="200" spans="1:29" s="11" customFormat="1" ht="12">
      <c r="A200" s="11" t="s">
        <v>371</v>
      </c>
      <c r="C200" s="11" t="s">
        <v>286</v>
      </c>
      <c r="E200" s="26">
        <v>2356797</v>
      </c>
      <c r="F200" s="26"/>
      <c r="G200" s="26">
        <v>549975</v>
      </c>
      <c r="H200" s="26"/>
      <c r="I200" s="26">
        <v>611007</v>
      </c>
      <c r="J200" s="26"/>
      <c r="K200" s="26">
        <v>650315</v>
      </c>
      <c r="L200" s="26"/>
      <c r="M200" s="26">
        <v>95311</v>
      </c>
      <c r="N200" s="26"/>
      <c r="O200" s="26">
        <v>7999</v>
      </c>
      <c r="P200" s="26"/>
      <c r="Q200" s="26">
        <v>73688</v>
      </c>
      <c r="R200" s="26"/>
      <c r="S200" s="26">
        <v>0</v>
      </c>
      <c r="T200" s="26"/>
      <c r="U200" s="26">
        <v>0</v>
      </c>
      <c r="V200" s="26"/>
      <c r="W200" s="26">
        <v>0</v>
      </c>
      <c r="X200" s="26"/>
      <c r="Y200" s="26">
        <v>0</v>
      </c>
      <c r="Z200" s="26"/>
      <c r="AA200" s="26">
        <v>0</v>
      </c>
      <c r="AB200" s="26"/>
      <c r="AC200" s="26">
        <f aca="true" t="shared" si="4" ref="AC200:AC259">SUM(E200:AA200)</f>
        <v>4345092</v>
      </c>
    </row>
    <row r="201" spans="1:29" s="11" customFormat="1" ht="12">
      <c r="A201" s="11" t="s">
        <v>114</v>
      </c>
      <c r="C201" s="11" t="s">
        <v>115</v>
      </c>
      <c r="E201" s="12">
        <v>1488501</v>
      </c>
      <c r="F201" s="12"/>
      <c r="G201" s="12">
        <v>513902</v>
      </c>
      <c r="H201" s="12"/>
      <c r="I201" s="12">
        <v>428971</v>
      </c>
      <c r="J201" s="12"/>
      <c r="K201" s="12">
        <v>337958</v>
      </c>
      <c r="L201" s="12"/>
      <c r="M201" s="12">
        <v>61969</v>
      </c>
      <c r="N201" s="12"/>
      <c r="O201" s="12">
        <v>9130</v>
      </c>
      <c r="P201" s="12"/>
      <c r="Q201" s="12">
        <v>96089</v>
      </c>
      <c r="R201" s="12"/>
      <c r="S201" s="12">
        <v>0</v>
      </c>
      <c r="T201" s="12"/>
      <c r="U201" s="12">
        <v>0</v>
      </c>
      <c r="V201" s="12"/>
      <c r="W201" s="12">
        <v>12021</v>
      </c>
      <c r="X201" s="12"/>
      <c r="Y201" s="12">
        <v>0</v>
      </c>
      <c r="Z201" s="12"/>
      <c r="AA201" s="12">
        <v>0</v>
      </c>
      <c r="AB201" s="12"/>
      <c r="AC201" s="12">
        <f t="shared" si="4"/>
        <v>2948541</v>
      </c>
    </row>
    <row r="202" spans="1:29" s="11" customFormat="1" ht="12">
      <c r="A202" s="11" t="s">
        <v>372</v>
      </c>
      <c r="C202" s="11" t="s">
        <v>201</v>
      </c>
      <c r="E202" s="12">
        <v>681937</v>
      </c>
      <c r="F202" s="12"/>
      <c r="G202" s="12">
        <v>142127</v>
      </c>
      <c r="H202" s="12"/>
      <c r="I202" s="12">
        <v>199570</v>
      </c>
      <c r="J202" s="12"/>
      <c r="K202" s="12">
        <v>300249</v>
      </c>
      <c r="L202" s="12"/>
      <c r="M202" s="12">
        <v>41966</v>
      </c>
      <c r="N202" s="12"/>
      <c r="O202" s="12">
        <v>8739</v>
      </c>
      <c r="P202" s="12"/>
      <c r="Q202" s="12">
        <v>26802</v>
      </c>
      <c r="R202" s="12"/>
      <c r="S202" s="12">
        <v>0</v>
      </c>
      <c r="T202" s="12"/>
      <c r="U202" s="12">
        <v>0</v>
      </c>
      <c r="V202" s="12"/>
      <c r="W202" s="12">
        <v>0</v>
      </c>
      <c r="X202" s="12"/>
      <c r="Y202" s="12">
        <v>0</v>
      </c>
      <c r="Z202" s="12"/>
      <c r="AA202" s="12">
        <v>0</v>
      </c>
      <c r="AB202" s="12"/>
      <c r="AC202" s="12">
        <f t="shared" si="4"/>
        <v>1401390</v>
      </c>
    </row>
    <row r="203" spans="1:29" s="11" customFormat="1" ht="12">
      <c r="A203" s="11" t="s">
        <v>373</v>
      </c>
      <c r="C203" s="11" t="s">
        <v>139</v>
      </c>
      <c r="E203" s="12">
        <v>269557.74</v>
      </c>
      <c r="F203" s="12"/>
      <c r="G203" s="12">
        <v>88191.05</v>
      </c>
      <c r="H203" s="12"/>
      <c r="I203" s="12">
        <v>92862</v>
      </c>
      <c r="J203" s="12"/>
      <c r="K203" s="12">
        <v>74088</v>
      </c>
      <c r="L203" s="12"/>
      <c r="M203" s="12">
        <v>17674.28</v>
      </c>
      <c r="N203" s="12"/>
      <c r="O203" s="12">
        <v>12383.66</v>
      </c>
      <c r="P203" s="12"/>
      <c r="Q203" s="12">
        <v>17487.12</v>
      </c>
      <c r="R203" s="12"/>
      <c r="S203" s="12">
        <v>0</v>
      </c>
      <c r="T203" s="12"/>
      <c r="U203" s="12">
        <v>0</v>
      </c>
      <c r="V203" s="12"/>
      <c r="W203" s="12">
        <v>5000</v>
      </c>
      <c r="X203" s="12"/>
      <c r="Y203" s="12">
        <v>0</v>
      </c>
      <c r="Z203" s="12"/>
      <c r="AA203" s="12">
        <v>0</v>
      </c>
      <c r="AB203" s="12"/>
      <c r="AC203" s="12">
        <f t="shared" si="4"/>
        <v>577243.8500000001</v>
      </c>
    </row>
    <row r="204" spans="1:29" s="11" customFormat="1" ht="12">
      <c r="A204" s="11" t="s">
        <v>374</v>
      </c>
      <c r="C204" s="11" t="s">
        <v>375</v>
      </c>
      <c r="E204" s="12">
        <v>747301.88</v>
      </c>
      <c r="F204" s="12"/>
      <c r="G204" s="12">
        <v>212456.25</v>
      </c>
      <c r="H204" s="12"/>
      <c r="I204" s="12">
        <v>97685.72</v>
      </c>
      <c r="J204" s="12"/>
      <c r="K204" s="12">
        <v>169341.66</v>
      </c>
      <c r="L204" s="12"/>
      <c r="M204" s="12">
        <v>33582.44</v>
      </c>
      <c r="N204" s="12"/>
      <c r="O204" s="12">
        <v>6584.5</v>
      </c>
      <c r="P204" s="12"/>
      <c r="Q204" s="12">
        <v>66927.98</v>
      </c>
      <c r="R204" s="12"/>
      <c r="S204" s="12">
        <v>0</v>
      </c>
      <c r="T204" s="12"/>
      <c r="U204" s="12">
        <v>0</v>
      </c>
      <c r="V204" s="12"/>
      <c r="W204" s="12">
        <v>0</v>
      </c>
      <c r="X204" s="12"/>
      <c r="Y204" s="12">
        <v>0</v>
      </c>
      <c r="Z204" s="12"/>
      <c r="AA204" s="12">
        <v>0</v>
      </c>
      <c r="AB204" s="12"/>
      <c r="AC204" s="12">
        <f t="shared" si="4"/>
        <v>1333880.43</v>
      </c>
    </row>
    <row r="205" spans="1:29" s="11" customFormat="1" ht="12">
      <c r="A205" s="11" t="s">
        <v>376</v>
      </c>
      <c r="C205" s="11" t="s">
        <v>286</v>
      </c>
      <c r="E205" s="12">
        <v>644454.68</v>
      </c>
      <c r="F205" s="12"/>
      <c r="G205" s="12">
        <v>180565.21</v>
      </c>
      <c r="H205" s="12"/>
      <c r="I205" s="12">
        <v>496384.33</v>
      </c>
      <c r="J205" s="12"/>
      <c r="K205" s="12">
        <v>215395.94</v>
      </c>
      <c r="L205" s="12"/>
      <c r="M205" s="12">
        <v>29457.09</v>
      </c>
      <c r="N205" s="12"/>
      <c r="O205" s="12">
        <v>4922.67</v>
      </c>
      <c r="P205" s="12"/>
      <c r="Q205" s="12">
        <v>19027.99</v>
      </c>
      <c r="R205" s="12"/>
      <c r="S205" s="12">
        <v>0</v>
      </c>
      <c r="T205" s="12"/>
      <c r="U205" s="12">
        <v>0</v>
      </c>
      <c r="V205" s="12"/>
      <c r="W205" s="12">
        <v>5000</v>
      </c>
      <c r="X205" s="12"/>
      <c r="Y205" s="12">
        <v>0</v>
      </c>
      <c r="Z205" s="12"/>
      <c r="AA205" s="12">
        <v>0</v>
      </c>
      <c r="AB205" s="12"/>
      <c r="AC205" s="12">
        <f t="shared" si="4"/>
        <v>1595207.91</v>
      </c>
    </row>
    <row r="206" spans="1:29" s="11" customFormat="1" ht="12">
      <c r="A206" s="11" t="s">
        <v>377</v>
      </c>
      <c r="C206" s="11" t="s">
        <v>343</v>
      </c>
      <c r="E206" s="12">
        <v>5661649</v>
      </c>
      <c r="F206" s="12"/>
      <c r="G206" s="12">
        <v>1681594</v>
      </c>
      <c r="H206" s="12"/>
      <c r="I206" s="12">
        <v>2010532</v>
      </c>
      <c r="J206" s="12"/>
      <c r="K206" s="12">
        <v>1471599</v>
      </c>
      <c r="L206" s="12"/>
      <c r="M206" s="12">
        <v>216252</v>
      </c>
      <c r="N206" s="12"/>
      <c r="O206" s="12">
        <v>61420</v>
      </c>
      <c r="P206" s="12"/>
      <c r="Q206" s="12">
        <v>82761</v>
      </c>
      <c r="R206" s="12"/>
      <c r="S206" s="12">
        <v>0</v>
      </c>
      <c r="T206" s="12"/>
      <c r="U206" s="12">
        <v>0</v>
      </c>
      <c r="V206" s="12"/>
      <c r="W206" s="12">
        <v>3250000</v>
      </c>
      <c r="X206" s="12"/>
      <c r="Y206" s="12">
        <v>0</v>
      </c>
      <c r="Z206" s="12"/>
      <c r="AA206" s="12">
        <v>0</v>
      </c>
      <c r="AB206" s="12"/>
      <c r="AC206" s="12">
        <f t="shared" si="4"/>
        <v>14435807</v>
      </c>
    </row>
    <row r="207" spans="1:29" s="11" customFormat="1" ht="12">
      <c r="A207" s="11" t="s">
        <v>378</v>
      </c>
      <c r="C207" s="11" t="s">
        <v>311</v>
      </c>
      <c r="E207" s="12">
        <v>130930</v>
      </c>
      <c r="F207" s="12"/>
      <c r="G207" s="12">
        <v>48899</v>
      </c>
      <c r="H207" s="12"/>
      <c r="I207" s="12">
        <v>80516</v>
      </c>
      <c r="J207" s="12"/>
      <c r="K207" s="12">
        <v>53987</v>
      </c>
      <c r="L207" s="12"/>
      <c r="M207" s="12">
        <v>9600</v>
      </c>
      <c r="N207" s="12"/>
      <c r="O207" s="12">
        <v>4674</v>
      </c>
      <c r="P207" s="12"/>
      <c r="Q207" s="12">
        <v>3929</v>
      </c>
      <c r="R207" s="12"/>
      <c r="S207" s="12">
        <v>42052</v>
      </c>
      <c r="T207" s="12"/>
      <c r="U207" s="12">
        <v>0</v>
      </c>
      <c r="V207" s="12"/>
      <c r="W207" s="12">
        <v>15350</v>
      </c>
      <c r="X207" s="12"/>
      <c r="Y207" s="12">
        <v>0</v>
      </c>
      <c r="Z207" s="12"/>
      <c r="AA207" s="12">
        <v>0</v>
      </c>
      <c r="AB207" s="12"/>
      <c r="AC207" s="12">
        <f t="shared" si="4"/>
        <v>389937</v>
      </c>
    </row>
    <row r="208" spans="1:29" s="11" customFormat="1" ht="12">
      <c r="A208" s="11" t="s">
        <v>379</v>
      </c>
      <c r="C208" s="11" t="s">
        <v>154</v>
      </c>
      <c r="E208" s="12">
        <v>66314.36</v>
      </c>
      <c r="F208" s="12"/>
      <c r="G208" s="12">
        <v>10175.25</v>
      </c>
      <c r="H208" s="12"/>
      <c r="I208" s="12">
        <v>31308.38</v>
      </c>
      <c r="J208" s="12"/>
      <c r="K208" s="12">
        <v>14996.32</v>
      </c>
      <c r="L208" s="12"/>
      <c r="M208" s="12">
        <v>4252.5</v>
      </c>
      <c r="N208" s="12"/>
      <c r="O208" s="12">
        <v>1405.02</v>
      </c>
      <c r="P208" s="12"/>
      <c r="Q208" s="12">
        <v>0</v>
      </c>
      <c r="R208" s="12"/>
      <c r="S208" s="12">
        <v>0</v>
      </c>
      <c r="T208" s="12"/>
      <c r="U208" s="12">
        <v>0</v>
      </c>
      <c r="V208" s="12"/>
      <c r="W208" s="12">
        <v>0</v>
      </c>
      <c r="X208" s="12"/>
      <c r="Y208" s="12">
        <v>0</v>
      </c>
      <c r="Z208" s="12"/>
      <c r="AA208" s="12">
        <v>0</v>
      </c>
      <c r="AB208" s="12"/>
      <c r="AC208" s="12">
        <f t="shared" si="4"/>
        <v>128451.83</v>
      </c>
    </row>
    <row r="209" spans="1:29" s="11" customFormat="1" ht="12">
      <c r="A209" s="11" t="s">
        <v>380</v>
      </c>
      <c r="C209" s="11" t="s">
        <v>278</v>
      </c>
      <c r="E209" s="12">
        <v>484458.33</v>
      </c>
      <c r="F209" s="12"/>
      <c r="G209" s="12">
        <v>103981.32</v>
      </c>
      <c r="H209" s="12"/>
      <c r="I209" s="12">
        <v>196675.7</v>
      </c>
      <c r="J209" s="12"/>
      <c r="K209" s="12">
        <v>150639.52</v>
      </c>
      <c r="L209" s="12"/>
      <c r="M209" s="12">
        <v>20802.97</v>
      </c>
      <c r="N209" s="12"/>
      <c r="O209" s="12">
        <v>3535.5</v>
      </c>
      <c r="P209" s="12"/>
      <c r="Q209" s="12">
        <v>17596.2</v>
      </c>
      <c r="R209" s="12"/>
      <c r="S209" s="12">
        <v>0</v>
      </c>
      <c r="T209" s="12"/>
      <c r="U209" s="12">
        <v>0</v>
      </c>
      <c r="V209" s="12"/>
      <c r="W209" s="12">
        <v>366200</v>
      </c>
      <c r="X209" s="12"/>
      <c r="Y209" s="12">
        <v>0</v>
      </c>
      <c r="Z209" s="12"/>
      <c r="AA209" s="12">
        <v>0</v>
      </c>
      <c r="AB209" s="12"/>
      <c r="AC209" s="12">
        <f t="shared" si="4"/>
        <v>1343889.54</v>
      </c>
    </row>
    <row r="210" spans="1:29" s="11" customFormat="1" ht="12">
      <c r="A210" s="11" t="s">
        <v>381</v>
      </c>
      <c r="C210" s="11" t="s">
        <v>136</v>
      </c>
      <c r="E210" s="12">
        <v>83872.16</v>
      </c>
      <c r="F210" s="12"/>
      <c r="G210" s="12">
        <v>12334.02</v>
      </c>
      <c r="H210" s="12"/>
      <c r="I210" s="12">
        <v>35120.18</v>
      </c>
      <c r="J210" s="12"/>
      <c r="K210" s="12">
        <v>47922.87</v>
      </c>
      <c r="L210" s="12"/>
      <c r="M210" s="12">
        <v>4446.8</v>
      </c>
      <c r="N210" s="12"/>
      <c r="O210" s="12">
        <v>5285.74</v>
      </c>
      <c r="P210" s="12"/>
      <c r="Q210" s="12">
        <v>975.32</v>
      </c>
      <c r="R210" s="12"/>
      <c r="S210" s="12">
        <v>0</v>
      </c>
      <c r="T210" s="12"/>
      <c r="U210" s="12">
        <v>0</v>
      </c>
      <c r="V210" s="12"/>
      <c r="W210" s="12">
        <v>22</v>
      </c>
      <c r="X210" s="12"/>
      <c r="Y210" s="12">
        <v>0</v>
      </c>
      <c r="Z210" s="12"/>
      <c r="AA210" s="12">
        <v>0</v>
      </c>
      <c r="AB210" s="12"/>
      <c r="AC210" s="12">
        <f t="shared" si="4"/>
        <v>189979.09</v>
      </c>
    </row>
    <row r="211" spans="1:29" s="11" customFormat="1" ht="12">
      <c r="A211" s="11" t="s">
        <v>382</v>
      </c>
      <c r="C211" s="11" t="s">
        <v>143</v>
      </c>
      <c r="E211" s="12">
        <v>89535.12</v>
      </c>
      <c r="F211" s="12"/>
      <c r="G211" s="12">
        <v>37809.5</v>
      </c>
      <c r="H211" s="12"/>
      <c r="I211" s="12">
        <v>28051.12</v>
      </c>
      <c r="J211" s="12"/>
      <c r="K211" s="12">
        <v>44234.3</v>
      </c>
      <c r="L211" s="12"/>
      <c r="M211" s="12">
        <v>22267.78</v>
      </c>
      <c r="N211" s="12"/>
      <c r="O211" s="12">
        <v>5360</v>
      </c>
      <c r="P211" s="12"/>
      <c r="Q211" s="12">
        <v>5764.6</v>
      </c>
      <c r="R211" s="12"/>
      <c r="S211" s="12">
        <v>0</v>
      </c>
      <c r="T211" s="12"/>
      <c r="U211" s="12">
        <v>0</v>
      </c>
      <c r="V211" s="12"/>
      <c r="W211" s="12">
        <v>0</v>
      </c>
      <c r="X211" s="12"/>
      <c r="Y211" s="12">
        <v>0</v>
      </c>
      <c r="Z211" s="12"/>
      <c r="AA211" s="12">
        <v>0</v>
      </c>
      <c r="AB211" s="12"/>
      <c r="AC211" s="12">
        <f t="shared" si="4"/>
        <v>233022.41999999998</v>
      </c>
    </row>
    <row r="212" spans="1:29" s="11" customFormat="1" ht="12">
      <c r="A212" s="11" t="s">
        <v>383</v>
      </c>
      <c r="C212" s="11" t="s">
        <v>110</v>
      </c>
      <c r="E212" s="12">
        <v>1894404</v>
      </c>
      <c r="F212" s="12"/>
      <c r="G212" s="12">
        <v>386325</v>
      </c>
      <c r="H212" s="12"/>
      <c r="I212" s="12">
        <v>296071</v>
      </c>
      <c r="J212" s="12"/>
      <c r="K212" s="12">
        <v>551752</v>
      </c>
      <c r="L212" s="12"/>
      <c r="M212" s="12">
        <v>61479</v>
      </c>
      <c r="N212" s="12"/>
      <c r="O212" s="12">
        <v>6043</v>
      </c>
      <c r="P212" s="12"/>
      <c r="Q212" s="12">
        <v>0</v>
      </c>
      <c r="R212" s="12"/>
      <c r="S212" s="12">
        <v>165000</v>
      </c>
      <c r="T212" s="12"/>
      <c r="U212" s="12">
        <v>73900</v>
      </c>
      <c r="V212" s="12"/>
      <c r="W212" s="12">
        <v>0</v>
      </c>
      <c r="X212" s="12"/>
      <c r="Y212" s="12">
        <v>0</v>
      </c>
      <c r="Z212" s="12"/>
      <c r="AA212" s="12">
        <v>0</v>
      </c>
      <c r="AB212" s="12"/>
      <c r="AC212" s="12">
        <f t="shared" si="4"/>
        <v>3434974</v>
      </c>
    </row>
    <row r="213" spans="1:29" s="11" customFormat="1" ht="12">
      <c r="A213" s="11" t="s">
        <v>384</v>
      </c>
      <c r="C213" s="11" t="s">
        <v>116</v>
      </c>
      <c r="E213" s="12">
        <v>1179365</v>
      </c>
      <c r="F213" s="12"/>
      <c r="G213" s="12">
        <v>0</v>
      </c>
      <c r="H213" s="12"/>
      <c r="I213" s="12">
        <f>247497+415973</f>
        <v>663470</v>
      </c>
      <c r="J213" s="12"/>
      <c r="K213" s="12">
        <v>5785</v>
      </c>
      <c r="L213" s="12"/>
      <c r="M213" s="12">
        <v>49362</v>
      </c>
      <c r="N213" s="12"/>
      <c r="O213" s="12">
        <v>0</v>
      </c>
      <c r="P213" s="12"/>
      <c r="Q213" s="12">
        <v>37880</v>
      </c>
      <c r="R213" s="12"/>
      <c r="S213" s="12">
        <v>0</v>
      </c>
      <c r="T213" s="12"/>
      <c r="U213" s="12">
        <v>0</v>
      </c>
      <c r="V213" s="12"/>
      <c r="W213" s="12">
        <v>0</v>
      </c>
      <c r="X213" s="12"/>
      <c r="Y213" s="12">
        <v>0</v>
      </c>
      <c r="Z213" s="12"/>
      <c r="AA213" s="12">
        <v>0</v>
      </c>
      <c r="AB213" s="12"/>
      <c r="AC213" s="12">
        <f t="shared" si="4"/>
        <v>1935862</v>
      </c>
    </row>
    <row r="214" spans="1:29" s="11" customFormat="1" ht="12">
      <c r="A214" s="11" t="s">
        <v>385</v>
      </c>
      <c r="C214" s="11" t="s">
        <v>158</v>
      </c>
      <c r="E214" s="12">
        <v>407680</v>
      </c>
      <c r="F214" s="12"/>
      <c r="G214" s="12">
        <v>120426</v>
      </c>
      <c r="H214" s="12"/>
      <c r="I214" s="12">
        <v>163529</v>
      </c>
      <c r="J214" s="12"/>
      <c r="K214" s="12">
        <v>88111</v>
      </c>
      <c r="L214" s="12"/>
      <c r="M214" s="12">
        <v>18354</v>
      </c>
      <c r="N214" s="12"/>
      <c r="O214" s="12">
        <v>6785</v>
      </c>
      <c r="P214" s="12"/>
      <c r="Q214" s="12">
        <v>978439</v>
      </c>
      <c r="R214" s="12"/>
      <c r="S214" s="12">
        <v>0</v>
      </c>
      <c r="T214" s="12"/>
      <c r="U214" s="12">
        <v>0</v>
      </c>
      <c r="V214" s="12"/>
      <c r="W214" s="12">
        <v>0</v>
      </c>
      <c r="X214" s="12"/>
      <c r="Y214" s="12">
        <v>0</v>
      </c>
      <c r="Z214" s="12"/>
      <c r="AA214" s="12">
        <v>0</v>
      </c>
      <c r="AB214" s="12"/>
      <c r="AC214" s="12">
        <f t="shared" si="4"/>
        <v>1783324</v>
      </c>
    </row>
    <row r="215" spans="1:29" s="11" customFormat="1" ht="12">
      <c r="A215" s="11" t="s">
        <v>386</v>
      </c>
      <c r="C215" s="11" t="s">
        <v>162</v>
      </c>
      <c r="E215" s="12">
        <v>127074.61</v>
      </c>
      <c r="F215" s="12"/>
      <c r="G215" s="12">
        <v>34995.03</v>
      </c>
      <c r="H215" s="12"/>
      <c r="I215" s="12">
        <v>22774.13</v>
      </c>
      <c r="J215" s="12"/>
      <c r="K215" s="12">
        <v>66102.6</v>
      </c>
      <c r="L215" s="12"/>
      <c r="M215" s="12">
        <v>6281.75</v>
      </c>
      <c r="N215" s="12"/>
      <c r="O215" s="12">
        <v>1048</v>
      </c>
      <c r="P215" s="12"/>
      <c r="Q215" s="12">
        <v>5180.97</v>
      </c>
      <c r="R215" s="12"/>
      <c r="S215" s="12">
        <v>0</v>
      </c>
      <c r="T215" s="12"/>
      <c r="U215" s="12">
        <v>0</v>
      </c>
      <c r="V215" s="12"/>
      <c r="W215" s="12">
        <v>0</v>
      </c>
      <c r="X215" s="12"/>
      <c r="Y215" s="12">
        <v>0</v>
      </c>
      <c r="Z215" s="12"/>
      <c r="AA215" s="12">
        <v>449.75</v>
      </c>
      <c r="AB215" s="12"/>
      <c r="AC215" s="12">
        <f t="shared" si="4"/>
        <v>263906.84</v>
      </c>
    </row>
    <row r="216" spans="1:29" s="11" customFormat="1" ht="12">
      <c r="A216" s="11" t="s">
        <v>387</v>
      </c>
      <c r="C216" s="11" t="s">
        <v>155</v>
      </c>
      <c r="E216" s="12">
        <v>180227.59</v>
      </c>
      <c r="F216" s="12"/>
      <c r="G216" s="12">
        <v>75833.64</v>
      </c>
      <c r="H216" s="12"/>
      <c r="I216" s="12">
        <v>60273.9</v>
      </c>
      <c r="J216" s="12"/>
      <c r="K216" s="12">
        <v>38971.52</v>
      </c>
      <c r="L216" s="12"/>
      <c r="M216" s="12">
        <v>14390.34</v>
      </c>
      <c r="N216" s="12"/>
      <c r="O216" s="12">
        <v>1319.03</v>
      </c>
      <c r="P216" s="12"/>
      <c r="Q216" s="12">
        <v>1254.92</v>
      </c>
      <c r="R216" s="12"/>
      <c r="S216" s="12">
        <v>0</v>
      </c>
      <c r="T216" s="12"/>
      <c r="U216" s="12">
        <v>0</v>
      </c>
      <c r="V216" s="12"/>
      <c r="W216" s="12">
        <v>0</v>
      </c>
      <c r="X216" s="12"/>
      <c r="Y216" s="12">
        <v>0</v>
      </c>
      <c r="Z216" s="12"/>
      <c r="AA216" s="12">
        <v>0</v>
      </c>
      <c r="AB216" s="12"/>
      <c r="AC216" s="12">
        <f t="shared" si="4"/>
        <v>372270.94000000006</v>
      </c>
    </row>
    <row r="217" spans="1:29" s="11" customFormat="1" ht="12">
      <c r="A217" s="11" t="s">
        <v>388</v>
      </c>
      <c r="C217" s="11" t="s">
        <v>144</v>
      </c>
      <c r="E217" s="12">
        <v>462870</v>
      </c>
      <c r="G217" s="12">
        <v>121898</v>
      </c>
      <c r="I217" s="12">
        <v>157156</v>
      </c>
      <c r="K217" s="12">
        <v>150380</v>
      </c>
      <c r="M217" s="12">
        <v>30331</v>
      </c>
      <c r="O217" s="12">
        <v>3950</v>
      </c>
      <c r="Q217" s="12">
        <v>19959</v>
      </c>
      <c r="S217" s="12">
        <v>0</v>
      </c>
      <c r="U217" s="12">
        <v>0</v>
      </c>
      <c r="W217" s="12">
        <v>10333</v>
      </c>
      <c r="Y217" s="12">
        <v>0</v>
      </c>
      <c r="AA217" s="12">
        <v>0</v>
      </c>
      <c r="AB217" s="12"/>
      <c r="AC217" s="12">
        <f t="shared" si="4"/>
        <v>956877</v>
      </c>
    </row>
    <row r="218" spans="1:29" s="11" customFormat="1" ht="12">
      <c r="A218" s="11" t="s">
        <v>389</v>
      </c>
      <c r="C218" s="11" t="s">
        <v>147</v>
      </c>
      <c r="E218" s="12">
        <v>492682</v>
      </c>
      <c r="G218" s="12">
        <v>60975</v>
      </c>
      <c r="I218" s="12">
        <v>121213</v>
      </c>
      <c r="K218" s="12">
        <v>38711</v>
      </c>
      <c r="M218" s="12">
        <v>11919</v>
      </c>
      <c r="O218" s="12">
        <v>12704</v>
      </c>
      <c r="Q218" s="12">
        <v>7574</v>
      </c>
      <c r="S218" s="12">
        <v>0</v>
      </c>
      <c r="U218" s="12">
        <v>0</v>
      </c>
      <c r="W218" s="12">
        <v>0</v>
      </c>
      <c r="Y218" s="12">
        <v>0</v>
      </c>
      <c r="AA218" s="12">
        <v>0</v>
      </c>
      <c r="AB218" s="12"/>
      <c r="AC218" s="12">
        <f t="shared" si="4"/>
        <v>745778</v>
      </c>
    </row>
    <row r="219" spans="1:29" s="11" customFormat="1" ht="12">
      <c r="A219" s="11" t="s">
        <v>390</v>
      </c>
      <c r="C219" s="11" t="s">
        <v>278</v>
      </c>
      <c r="E219" s="12">
        <v>1311313</v>
      </c>
      <c r="G219" s="12">
        <v>423521</v>
      </c>
      <c r="I219" s="12">
        <v>593220</v>
      </c>
      <c r="K219" s="12">
        <v>262089</v>
      </c>
      <c r="M219" s="12">
        <v>56290</v>
      </c>
      <c r="O219" s="12">
        <v>15247</v>
      </c>
      <c r="Q219" s="12">
        <v>53960</v>
      </c>
      <c r="S219" s="12">
        <v>0</v>
      </c>
      <c r="U219" s="12">
        <v>0</v>
      </c>
      <c r="W219" s="12">
        <v>0</v>
      </c>
      <c r="Y219" s="12">
        <v>0</v>
      </c>
      <c r="AA219" s="12">
        <v>0</v>
      </c>
      <c r="AB219" s="12"/>
      <c r="AC219" s="12">
        <f t="shared" si="4"/>
        <v>2715640</v>
      </c>
    </row>
    <row r="220" spans="1:29" s="11" customFormat="1" ht="12">
      <c r="A220" s="11" t="s">
        <v>391</v>
      </c>
      <c r="C220" s="11" t="s">
        <v>161</v>
      </c>
      <c r="E220" s="12">
        <v>172290.45</v>
      </c>
      <c r="F220" s="12"/>
      <c r="G220" s="12">
        <v>26412.12</v>
      </c>
      <c r="H220" s="12"/>
      <c r="I220" s="12">
        <v>39028.21</v>
      </c>
      <c r="J220" s="12"/>
      <c r="K220" s="12">
        <v>28834.4</v>
      </c>
      <c r="L220" s="12"/>
      <c r="M220" s="12">
        <v>12089.3</v>
      </c>
      <c r="N220" s="12"/>
      <c r="O220" s="12">
        <v>2113</v>
      </c>
      <c r="P220" s="12"/>
      <c r="Q220" s="12">
        <v>112.24</v>
      </c>
      <c r="R220" s="12"/>
      <c r="S220" s="12">
        <v>0</v>
      </c>
      <c r="T220" s="12"/>
      <c r="U220" s="12">
        <v>0</v>
      </c>
      <c r="V220" s="12"/>
      <c r="W220" s="12">
        <v>0</v>
      </c>
      <c r="X220" s="12"/>
      <c r="Y220" s="12">
        <v>0</v>
      </c>
      <c r="Z220" s="12"/>
      <c r="AA220" s="12">
        <v>0</v>
      </c>
      <c r="AB220" s="12"/>
      <c r="AC220" s="12">
        <f t="shared" si="4"/>
        <v>280879.72</v>
      </c>
    </row>
    <row r="221" spans="1:29" s="11" customFormat="1" ht="12">
      <c r="A221" s="11" t="s">
        <v>392</v>
      </c>
      <c r="C221" s="11" t="s">
        <v>138</v>
      </c>
      <c r="E221" s="12">
        <v>86052.46</v>
      </c>
      <c r="F221" s="12"/>
      <c r="G221" s="12">
        <v>12609.87</v>
      </c>
      <c r="H221" s="12"/>
      <c r="I221" s="12">
        <v>37595.69</v>
      </c>
      <c r="J221" s="12"/>
      <c r="K221" s="12">
        <v>17920.75</v>
      </c>
      <c r="L221" s="12"/>
      <c r="M221" s="12">
        <v>6138.28</v>
      </c>
      <c r="N221" s="12"/>
      <c r="O221" s="12">
        <v>9260.41</v>
      </c>
      <c r="P221" s="12"/>
      <c r="Q221" s="12">
        <v>1206.68</v>
      </c>
      <c r="R221" s="12"/>
      <c r="S221" s="12">
        <v>0</v>
      </c>
      <c r="T221" s="12"/>
      <c r="U221" s="12">
        <v>0</v>
      </c>
      <c r="V221" s="12"/>
      <c r="W221" s="12">
        <v>9575.52</v>
      </c>
      <c r="X221" s="12"/>
      <c r="Y221" s="12">
        <v>0</v>
      </c>
      <c r="Z221" s="12"/>
      <c r="AA221" s="12">
        <v>0</v>
      </c>
      <c r="AB221" s="12"/>
      <c r="AC221" s="12">
        <f t="shared" si="4"/>
        <v>180359.66</v>
      </c>
    </row>
    <row r="222" spans="1:29" s="11" customFormat="1" ht="12">
      <c r="A222" s="11" t="s">
        <v>393</v>
      </c>
      <c r="C222" s="11" t="s">
        <v>110</v>
      </c>
      <c r="E222" s="12">
        <v>2770224</v>
      </c>
      <c r="G222" s="12">
        <v>698470</v>
      </c>
      <c r="I222" s="12">
        <v>617352</v>
      </c>
      <c r="K222" s="12">
        <v>935055</v>
      </c>
      <c r="M222" s="12">
        <v>88247</v>
      </c>
      <c r="O222" s="12">
        <v>10488</v>
      </c>
      <c r="Q222" s="12">
        <v>171097</v>
      </c>
      <c r="S222" s="12">
        <v>0</v>
      </c>
      <c r="U222" s="12">
        <v>0</v>
      </c>
      <c r="W222" s="12">
        <v>179928</v>
      </c>
      <c r="Y222" s="12">
        <v>0</v>
      </c>
      <c r="AA222" s="12">
        <v>0</v>
      </c>
      <c r="AB222" s="12"/>
      <c r="AC222" s="12">
        <f t="shared" si="4"/>
        <v>5470861</v>
      </c>
    </row>
    <row r="223" spans="1:29" s="11" customFormat="1" ht="12">
      <c r="A223" s="11" t="s">
        <v>394</v>
      </c>
      <c r="C223" s="11" t="s">
        <v>205</v>
      </c>
      <c r="E223" s="12">
        <v>6356</v>
      </c>
      <c r="G223" s="12">
        <v>966</v>
      </c>
      <c r="I223" s="12">
        <v>61050</v>
      </c>
      <c r="K223" s="12">
        <v>14974</v>
      </c>
      <c r="M223" s="12">
        <v>9032</v>
      </c>
      <c r="O223" s="12">
        <v>33576</v>
      </c>
      <c r="Q223" s="12">
        <v>140</v>
      </c>
      <c r="S223" s="12">
        <v>0</v>
      </c>
      <c r="U223" s="12">
        <v>0</v>
      </c>
      <c r="W223" s="12">
        <v>0</v>
      </c>
      <c r="Y223" s="12">
        <v>0</v>
      </c>
      <c r="AA223" s="12">
        <v>0</v>
      </c>
      <c r="AB223" s="12"/>
      <c r="AC223" s="12">
        <f t="shared" si="4"/>
        <v>126094</v>
      </c>
    </row>
    <row r="224" spans="1:29" s="11" customFormat="1" ht="12">
      <c r="A224" s="11" t="s">
        <v>395</v>
      </c>
      <c r="C224" s="11" t="s">
        <v>188</v>
      </c>
      <c r="E224" s="12">
        <v>2004491</v>
      </c>
      <c r="G224" s="12">
        <v>557294</v>
      </c>
      <c r="I224" s="12">
        <v>910336</v>
      </c>
      <c r="K224" s="12">
        <v>562504</v>
      </c>
      <c r="M224" s="12">
        <v>104576</v>
      </c>
      <c r="O224" s="12">
        <v>15255</v>
      </c>
      <c r="Q224" s="12">
        <v>39911</v>
      </c>
      <c r="S224" s="12">
        <v>0</v>
      </c>
      <c r="U224" s="12">
        <v>0</v>
      </c>
      <c r="W224" s="12">
        <v>100000</v>
      </c>
      <c r="Y224" s="12">
        <v>0</v>
      </c>
      <c r="AA224" s="12">
        <v>0</v>
      </c>
      <c r="AB224" s="12"/>
      <c r="AC224" s="12">
        <f t="shared" si="4"/>
        <v>4294367</v>
      </c>
    </row>
    <row r="225" spans="1:29" s="11" customFormat="1" ht="12">
      <c r="A225" s="11" t="s">
        <v>396</v>
      </c>
      <c r="C225" s="11" t="s">
        <v>137</v>
      </c>
      <c r="E225" s="12">
        <v>276642.98</v>
      </c>
      <c r="F225" s="12"/>
      <c r="G225" s="12">
        <v>68542.81</v>
      </c>
      <c r="H225" s="12"/>
      <c r="I225" s="12">
        <v>92722.17</v>
      </c>
      <c r="J225" s="12"/>
      <c r="K225" s="12">
        <v>73140.44</v>
      </c>
      <c r="L225" s="12"/>
      <c r="M225" s="12">
        <v>24637.45</v>
      </c>
      <c r="N225" s="12"/>
      <c r="O225" s="12">
        <v>8108</v>
      </c>
      <c r="P225" s="12"/>
      <c r="Q225" s="12">
        <v>9697.74</v>
      </c>
      <c r="R225" s="12"/>
      <c r="S225" s="12">
        <v>0</v>
      </c>
      <c r="T225" s="12"/>
      <c r="U225" s="12">
        <v>0</v>
      </c>
      <c r="V225" s="12"/>
      <c r="W225" s="12">
        <v>0</v>
      </c>
      <c r="X225" s="12"/>
      <c r="Y225" s="12">
        <v>0</v>
      </c>
      <c r="Z225" s="12"/>
      <c r="AA225" s="12">
        <v>0</v>
      </c>
      <c r="AB225" s="12"/>
      <c r="AC225" s="12">
        <f t="shared" si="4"/>
        <v>553491.59</v>
      </c>
    </row>
    <row r="226" spans="1:29" s="11" customFormat="1" ht="12">
      <c r="A226" s="11" t="s">
        <v>397</v>
      </c>
      <c r="C226" s="11" t="s">
        <v>104</v>
      </c>
      <c r="E226" s="12">
        <v>251966.41</v>
      </c>
      <c r="F226" s="12"/>
      <c r="G226" s="12">
        <v>52624.28</v>
      </c>
      <c r="H226" s="12"/>
      <c r="I226" s="12">
        <v>70032.78</v>
      </c>
      <c r="J226" s="12"/>
      <c r="K226" s="12">
        <v>47457.55</v>
      </c>
      <c r="L226" s="12"/>
      <c r="M226" s="12">
        <v>11013.81</v>
      </c>
      <c r="N226" s="12"/>
      <c r="O226" s="12">
        <v>3201.47</v>
      </c>
      <c r="P226" s="12"/>
      <c r="Q226" s="12">
        <v>86633</v>
      </c>
      <c r="R226" s="12"/>
      <c r="S226" s="12">
        <v>0</v>
      </c>
      <c r="T226" s="12"/>
      <c r="U226" s="12">
        <v>0</v>
      </c>
      <c r="V226" s="12"/>
      <c r="W226" s="12">
        <v>0</v>
      </c>
      <c r="X226" s="12"/>
      <c r="Y226" s="12">
        <v>0</v>
      </c>
      <c r="Z226" s="12"/>
      <c r="AA226" s="12">
        <v>1725.88</v>
      </c>
      <c r="AB226" s="12"/>
      <c r="AC226" s="12">
        <f t="shared" si="4"/>
        <v>524655.1799999999</v>
      </c>
    </row>
    <row r="227" spans="1:29" s="11" customFormat="1" ht="12">
      <c r="A227" s="11" t="s">
        <v>398</v>
      </c>
      <c r="C227" s="11" t="s">
        <v>116</v>
      </c>
      <c r="E227" s="12">
        <v>1254812</v>
      </c>
      <c r="G227" s="12">
        <v>0</v>
      </c>
      <c r="I227" s="12">
        <f>6979280+2842835</f>
        <v>9822115</v>
      </c>
      <c r="K227" s="12">
        <v>456387</v>
      </c>
      <c r="M227" s="12">
        <v>624807</v>
      </c>
      <c r="O227" s="12">
        <v>0</v>
      </c>
      <c r="Q227" s="12">
        <v>3466652</v>
      </c>
      <c r="S227" s="12">
        <v>0</v>
      </c>
      <c r="U227" s="12">
        <v>0</v>
      </c>
      <c r="W227" s="12">
        <v>0</v>
      </c>
      <c r="Y227" s="12">
        <v>0</v>
      </c>
      <c r="AA227" s="12">
        <v>0</v>
      </c>
      <c r="AB227" s="12"/>
      <c r="AC227" s="12">
        <f t="shared" si="4"/>
        <v>15624773</v>
      </c>
    </row>
    <row r="228" spans="1:29" s="11" customFormat="1" ht="12">
      <c r="A228" s="11" t="s">
        <v>399</v>
      </c>
      <c r="C228" s="11" t="s">
        <v>400</v>
      </c>
      <c r="E228" s="12">
        <v>1503098</v>
      </c>
      <c r="G228" s="12">
        <v>619203</v>
      </c>
      <c r="I228" s="12">
        <v>351123</v>
      </c>
      <c r="K228" s="12">
        <v>323289</v>
      </c>
      <c r="M228" s="12">
        <v>68937</v>
      </c>
      <c r="O228" s="12">
        <v>12948</v>
      </c>
      <c r="Q228" s="12">
        <v>14292</v>
      </c>
      <c r="S228" s="12">
        <v>0</v>
      </c>
      <c r="U228" s="12">
        <v>0</v>
      </c>
      <c r="W228" s="12">
        <v>0</v>
      </c>
      <c r="Y228" s="12">
        <v>0</v>
      </c>
      <c r="AA228" s="12">
        <v>0</v>
      </c>
      <c r="AB228" s="12"/>
      <c r="AC228" s="12">
        <f t="shared" si="4"/>
        <v>2892890</v>
      </c>
    </row>
    <row r="229" spans="1:29" s="11" customFormat="1" ht="12">
      <c r="A229" s="11" t="s">
        <v>401</v>
      </c>
      <c r="C229" s="11" t="s">
        <v>113</v>
      </c>
      <c r="E229" s="12">
        <v>223525</v>
      </c>
      <c r="G229" s="12">
        <v>0</v>
      </c>
      <c r="I229" s="12">
        <f>930979+582884</f>
        <v>1513863</v>
      </c>
      <c r="K229" s="12">
        <v>0</v>
      </c>
      <c r="M229" s="12">
        <v>339392</v>
      </c>
      <c r="O229" s="12">
        <v>0</v>
      </c>
      <c r="Q229" s="12">
        <v>66581</v>
      </c>
      <c r="S229" s="12">
        <v>0</v>
      </c>
      <c r="U229" s="12">
        <v>0</v>
      </c>
      <c r="W229" s="12">
        <v>0</v>
      </c>
      <c r="Y229" s="12">
        <v>0</v>
      </c>
      <c r="AA229" s="12">
        <v>0</v>
      </c>
      <c r="AB229" s="12"/>
      <c r="AC229" s="12">
        <f t="shared" si="4"/>
        <v>2143361</v>
      </c>
    </row>
    <row r="230" spans="1:29" s="11" customFormat="1" ht="12">
      <c r="A230" s="11" t="s">
        <v>402</v>
      </c>
      <c r="C230" s="11" t="s">
        <v>135</v>
      </c>
      <c r="E230" s="12">
        <v>183812.4</v>
      </c>
      <c r="F230" s="12"/>
      <c r="G230" s="12">
        <v>67528.78</v>
      </c>
      <c r="H230" s="12"/>
      <c r="I230" s="12">
        <v>74814.3</v>
      </c>
      <c r="J230" s="12"/>
      <c r="K230" s="12">
        <v>35605.62</v>
      </c>
      <c r="L230" s="12"/>
      <c r="M230" s="12">
        <v>7031.93</v>
      </c>
      <c r="N230" s="12"/>
      <c r="O230" s="12">
        <v>5778.02</v>
      </c>
      <c r="P230" s="12"/>
      <c r="Q230" s="12">
        <v>28208.82</v>
      </c>
      <c r="R230" s="12"/>
      <c r="S230" s="12">
        <v>13532.37</v>
      </c>
      <c r="T230" s="12"/>
      <c r="U230" s="12">
        <v>2255.79</v>
      </c>
      <c r="V230" s="12"/>
      <c r="W230" s="12">
        <v>19610.64</v>
      </c>
      <c r="X230" s="12"/>
      <c r="Y230" s="12">
        <v>0</v>
      </c>
      <c r="Z230" s="12"/>
      <c r="AA230" s="12">
        <v>0</v>
      </c>
      <c r="AB230" s="12"/>
      <c r="AC230" s="12">
        <f t="shared" si="4"/>
        <v>438178.67</v>
      </c>
    </row>
    <row r="231" spans="1:29" s="11" customFormat="1" ht="12">
      <c r="A231" s="11" t="s">
        <v>403</v>
      </c>
      <c r="C231" s="11" t="s">
        <v>282</v>
      </c>
      <c r="E231" s="12">
        <v>273967.82</v>
      </c>
      <c r="F231" s="12"/>
      <c r="G231" s="12">
        <v>99433.08</v>
      </c>
      <c r="H231" s="12"/>
      <c r="I231" s="12">
        <v>48099.55</v>
      </c>
      <c r="J231" s="12"/>
      <c r="K231" s="12">
        <v>39172.66</v>
      </c>
      <c r="L231" s="12"/>
      <c r="M231" s="12">
        <v>12259.21</v>
      </c>
      <c r="N231" s="12"/>
      <c r="O231" s="12">
        <v>1168.45</v>
      </c>
      <c r="P231" s="12"/>
      <c r="Q231" s="12">
        <v>5000</v>
      </c>
      <c r="R231" s="12"/>
      <c r="S231" s="12">
        <v>0</v>
      </c>
      <c r="T231" s="12"/>
      <c r="U231" s="12">
        <v>0</v>
      </c>
      <c r="V231" s="12"/>
      <c r="W231" s="12">
        <v>0</v>
      </c>
      <c r="X231" s="12"/>
      <c r="Y231" s="12">
        <v>0</v>
      </c>
      <c r="Z231" s="12"/>
      <c r="AA231" s="12">
        <v>0</v>
      </c>
      <c r="AB231" s="12"/>
      <c r="AC231" s="12">
        <f t="shared" si="4"/>
        <v>479100.77</v>
      </c>
    </row>
    <row r="232" spans="1:29" s="11" customFormat="1" ht="12">
      <c r="A232" s="11" t="s">
        <v>404</v>
      </c>
      <c r="C232" s="11" t="s">
        <v>113</v>
      </c>
      <c r="E232" s="12">
        <v>858977</v>
      </c>
      <c r="G232" s="12">
        <v>228740</v>
      </c>
      <c r="I232" s="12">
        <v>264486</v>
      </c>
      <c r="K232" s="12">
        <v>305812</v>
      </c>
      <c r="M232" s="12">
        <v>38432</v>
      </c>
      <c r="O232" s="12">
        <v>21161</v>
      </c>
      <c r="Q232" s="12">
        <v>1607</v>
      </c>
      <c r="S232" s="12">
        <v>0</v>
      </c>
      <c r="U232" s="12">
        <v>0</v>
      </c>
      <c r="W232" s="12">
        <v>0</v>
      </c>
      <c r="Y232" s="12">
        <v>0</v>
      </c>
      <c r="AA232" s="12">
        <v>0</v>
      </c>
      <c r="AB232" s="12"/>
      <c r="AC232" s="12">
        <f t="shared" si="4"/>
        <v>1719215</v>
      </c>
    </row>
    <row r="233" spans="1:29" s="11" customFormat="1" ht="12">
      <c r="A233" s="11" t="s">
        <v>405</v>
      </c>
      <c r="C233" s="11" t="s">
        <v>138</v>
      </c>
      <c r="E233" s="12">
        <v>711517</v>
      </c>
      <c r="G233" s="12">
        <v>187367</v>
      </c>
      <c r="I233" s="12">
        <v>138078</v>
      </c>
      <c r="K233" s="12">
        <v>207469</v>
      </c>
      <c r="M233" s="12">
        <v>25080</v>
      </c>
      <c r="O233" s="12">
        <v>21191</v>
      </c>
      <c r="Q233" s="12">
        <v>37749</v>
      </c>
      <c r="S233" s="12">
        <v>0</v>
      </c>
      <c r="U233" s="12">
        <v>0</v>
      </c>
      <c r="W233" s="12">
        <v>0</v>
      </c>
      <c r="Y233" s="12">
        <v>0</v>
      </c>
      <c r="AA233" s="12">
        <v>0</v>
      </c>
      <c r="AB233" s="12"/>
      <c r="AC233" s="12">
        <f t="shared" si="4"/>
        <v>1328451</v>
      </c>
    </row>
    <row r="234" spans="1:29" s="11" customFormat="1" ht="12">
      <c r="A234" s="11" t="s">
        <v>406</v>
      </c>
      <c r="C234" s="11" t="s">
        <v>407</v>
      </c>
      <c r="E234" s="12">
        <v>21665067</v>
      </c>
      <c r="G234" s="12">
        <v>0</v>
      </c>
      <c r="I234" s="12">
        <v>4880082</v>
      </c>
      <c r="K234" s="12">
        <v>4036438</v>
      </c>
      <c r="M234" s="12">
        <v>0</v>
      </c>
      <c r="O234" s="12">
        <v>0</v>
      </c>
      <c r="Q234" s="12">
        <v>828462</v>
      </c>
      <c r="S234" s="12">
        <v>9339</v>
      </c>
      <c r="U234" s="12">
        <v>4685</v>
      </c>
      <c r="W234" s="12">
        <v>1400000</v>
      </c>
      <c r="Y234" s="12">
        <v>0</v>
      </c>
      <c r="AA234" s="12">
        <v>0</v>
      </c>
      <c r="AB234" s="12"/>
      <c r="AC234" s="12">
        <f t="shared" si="4"/>
        <v>32824073</v>
      </c>
    </row>
    <row r="235" spans="1:29" s="11" customFormat="1" ht="12">
      <c r="A235" s="11" t="s">
        <v>514</v>
      </c>
      <c r="C235" s="11" t="s">
        <v>146</v>
      </c>
      <c r="E235" s="12">
        <v>477391</v>
      </c>
      <c r="G235" s="12">
        <v>0</v>
      </c>
      <c r="I235" s="12">
        <f>47264+48923</f>
        <v>96187</v>
      </c>
      <c r="K235" s="12">
        <v>4973</v>
      </c>
      <c r="M235" s="12">
        <v>29340</v>
      </c>
      <c r="O235" s="12">
        <v>0</v>
      </c>
      <c r="Q235" s="12">
        <v>3743</v>
      </c>
      <c r="S235" s="12">
        <v>0</v>
      </c>
      <c r="U235" s="12">
        <v>0</v>
      </c>
      <c r="W235" s="12">
        <v>22000</v>
      </c>
      <c r="Y235" s="12">
        <v>0</v>
      </c>
      <c r="AA235" s="12">
        <v>0</v>
      </c>
      <c r="AB235" s="12"/>
      <c r="AC235" s="12">
        <f t="shared" si="4"/>
        <v>633634</v>
      </c>
    </row>
    <row r="236" spans="1:29" s="11" customFormat="1" ht="12">
      <c r="A236" s="11" t="s">
        <v>408</v>
      </c>
      <c r="C236" s="11" t="s">
        <v>117</v>
      </c>
      <c r="E236" s="12">
        <v>955791</v>
      </c>
      <c r="F236" s="12"/>
      <c r="G236" s="12">
        <v>0</v>
      </c>
      <c r="H236" s="12"/>
      <c r="I236" s="12">
        <f>246199+522027</f>
        <v>768226</v>
      </c>
      <c r="J236" s="12"/>
      <c r="K236" s="12">
        <v>33959</v>
      </c>
      <c r="L236" s="12"/>
      <c r="M236" s="12">
        <v>168529</v>
      </c>
      <c r="N236" s="12"/>
      <c r="O236" s="12">
        <v>0</v>
      </c>
      <c r="P236" s="12"/>
      <c r="Q236" s="12">
        <v>3865</v>
      </c>
      <c r="R236" s="12"/>
      <c r="S236" s="12">
        <v>0</v>
      </c>
      <c r="U236" s="12">
        <v>0</v>
      </c>
      <c r="W236" s="12">
        <v>0</v>
      </c>
      <c r="Y236" s="12">
        <v>0</v>
      </c>
      <c r="AA236" s="12">
        <v>0</v>
      </c>
      <c r="AB236" s="12"/>
      <c r="AC236" s="12">
        <f t="shared" si="4"/>
        <v>1930370</v>
      </c>
    </row>
    <row r="237" spans="1:29" s="11" customFormat="1" ht="12">
      <c r="A237" s="11" t="s">
        <v>409</v>
      </c>
      <c r="C237" s="11" t="s">
        <v>113</v>
      </c>
      <c r="E237" s="12">
        <v>998856</v>
      </c>
      <c r="G237" s="12">
        <v>273465</v>
      </c>
      <c r="I237" s="12">
        <v>259264</v>
      </c>
      <c r="K237" s="12">
        <v>458509</v>
      </c>
      <c r="M237" s="12">
        <v>43841</v>
      </c>
      <c r="O237" s="12">
        <v>5906</v>
      </c>
      <c r="Q237" s="12">
        <v>98839</v>
      </c>
      <c r="S237" s="12">
        <v>0</v>
      </c>
      <c r="U237" s="12">
        <v>0</v>
      </c>
      <c r="W237" s="12">
        <v>0</v>
      </c>
      <c r="Y237" s="12">
        <v>0</v>
      </c>
      <c r="AA237" s="12">
        <v>0</v>
      </c>
      <c r="AB237" s="12"/>
      <c r="AC237" s="12">
        <f t="shared" si="4"/>
        <v>2138680</v>
      </c>
    </row>
    <row r="238" spans="1:29" s="11" customFormat="1" ht="12">
      <c r="A238" s="11" t="s">
        <v>410</v>
      </c>
      <c r="C238" s="11" t="s">
        <v>140</v>
      </c>
      <c r="E238" s="12">
        <v>293446</v>
      </c>
      <c r="G238" s="12">
        <v>57760</v>
      </c>
      <c r="I238" s="12">
        <v>96247</v>
      </c>
      <c r="K238" s="12">
        <v>50373</v>
      </c>
      <c r="M238" s="12">
        <v>12076</v>
      </c>
      <c r="O238" s="12">
        <v>11279</v>
      </c>
      <c r="Q238" s="12">
        <v>0</v>
      </c>
      <c r="S238" s="12">
        <v>0</v>
      </c>
      <c r="U238" s="12">
        <v>0</v>
      </c>
      <c r="W238" s="12">
        <v>0</v>
      </c>
      <c r="Y238" s="12">
        <v>0</v>
      </c>
      <c r="AA238" s="12">
        <v>0</v>
      </c>
      <c r="AB238" s="12"/>
      <c r="AC238" s="12">
        <f t="shared" si="4"/>
        <v>521181</v>
      </c>
    </row>
    <row r="239" spans="1:29" s="11" customFormat="1" ht="12">
      <c r="A239" s="11" t="s">
        <v>411</v>
      </c>
      <c r="C239" s="11" t="s">
        <v>188</v>
      </c>
      <c r="E239" s="12">
        <v>2475355</v>
      </c>
      <c r="G239" s="12">
        <v>808463</v>
      </c>
      <c r="I239" s="12">
        <v>559723</v>
      </c>
      <c r="K239" s="12">
        <v>927624</v>
      </c>
      <c r="M239" s="12">
        <v>144065</v>
      </c>
      <c r="O239" s="12">
        <v>11801</v>
      </c>
      <c r="Q239" s="12">
        <v>268315</v>
      </c>
      <c r="S239" s="12">
        <v>0</v>
      </c>
      <c r="U239" s="12">
        <v>0</v>
      </c>
      <c r="W239" s="12">
        <v>291500</v>
      </c>
      <c r="Y239" s="12">
        <v>0</v>
      </c>
      <c r="AA239" s="12">
        <v>0</v>
      </c>
      <c r="AB239" s="12"/>
      <c r="AC239" s="12">
        <f t="shared" si="4"/>
        <v>5486846</v>
      </c>
    </row>
    <row r="240" spans="1:29" s="11" customFormat="1" ht="12">
      <c r="A240" s="11" t="s">
        <v>412</v>
      </c>
      <c r="C240" s="11" t="s">
        <v>156</v>
      </c>
      <c r="E240" s="12">
        <v>225757</v>
      </c>
      <c r="G240" s="12">
        <v>68813</v>
      </c>
      <c r="I240" s="12">
        <v>49918</v>
      </c>
      <c r="K240" s="12">
        <v>67991</v>
      </c>
      <c r="M240" s="12">
        <v>13216</v>
      </c>
      <c r="O240" s="12">
        <v>9558</v>
      </c>
      <c r="Q240" s="12">
        <v>6373</v>
      </c>
      <c r="S240" s="12">
        <v>0</v>
      </c>
      <c r="U240" s="12">
        <v>0</v>
      </c>
      <c r="W240" s="12">
        <v>0</v>
      </c>
      <c r="Y240" s="12">
        <v>0</v>
      </c>
      <c r="AA240" s="12">
        <v>0</v>
      </c>
      <c r="AB240" s="12"/>
      <c r="AC240" s="12">
        <f t="shared" si="4"/>
        <v>441626</v>
      </c>
    </row>
    <row r="241" spans="1:29" s="11" customFormat="1" ht="12">
      <c r="A241" s="11" t="s">
        <v>413</v>
      </c>
      <c r="C241" s="11" t="s">
        <v>149</v>
      </c>
      <c r="E241" s="12">
        <v>2413206</v>
      </c>
      <c r="G241" s="12">
        <v>866470</v>
      </c>
      <c r="I241" s="12">
        <v>517514</v>
      </c>
      <c r="K241" s="12">
        <v>640599</v>
      </c>
      <c r="M241" s="12">
        <v>123951</v>
      </c>
      <c r="O241" s="12">
        <v>22003</v>
      </c>
      <c r="Q241" s="12">
        <v>294470</v>
      </c>
      <c r="S241" s="12">
        <v>51739</v>
      </c>
      <c r="U241" s="12">
        <v>0</v>
      </c>
      <c r="W241" s="12">
        <v>135789</v>
      </c>
      <c r="Y241" s="12">
        <v>0</v>
      </c>
      <c r="AA241" s="12">
        <v>0</v>
      </c>
      <c r="AB241" s="12"/>
      <c r="AC241" s="12">
        <f t="shared" si="4"/>
        <v>5065741</v>
      </c>
    </row>
    <row r="242" spans="1:29" s="11" customFormat="1" ht="12">
      <c r="A242" s="11" t="s">
        <v>414</v>
      </c>
      <c r="C242" s="11" t="s">
        <v>118</v>
      </c>
      <c r="E242" s="12">
        <v>1406826</v>
      </c>
      <c r="G242" s="12">
        <v>0</v>
      </c>
      <c r="I242" s="12">
        <v>422868</v>
      </c>
      <c r="K242" s="12">
        <v>316924</v>
      </c>
      <c r="M242" s="12">
        <v>0</v>
      </c>
      <c r="O242" s="12">
        <v>0</v>
      </c>
      <c r="Q242" s="12">
        <v>71146</v>
      </c>
      <c r="S242" s="12">
        <v>0</v>
      </c>
      <c r="U242" s="12">
        <v>0</v>
      </c>
      <c r="W242" s="12">
        <v>0</v>
      </c>
      <c r="Y242" s="12">
        <v>0</v>
      </c>
      <c r="AA242" s="12">
        <v>390745</v>
      </c>
      <c r="AB242" s="12"/>
      <c r="AC242" s="12">
        <f t="shared" si="4"/>
        <v>2608509</v>
      </c>
    </row>
    <row r="243" spans="1:29" s="11" customFormat="1" ht="12">
      <c r="A243" s="11" t="s">
        <v>415</v>
      </c>
      <c r="C243" s="11" t="s">
        <v>148</v>
      </c>
      <c r="E243" s="12">
        <v>3175766</v>
      </c>
      <c r="G243" s="12">
        <v>1054980</v>
      </c>
      <c r="I243" s="12">
        <v>671813</v>
      </c>
      <c r="K243" s="12">
        <v>911447</v>
      </c>
      <c r="M243" s="12">
        <v>182002</v>
      </c>
      <c r="O243" s="12">
        <v>23241</v>
      </c>
      <c r="Q243" s="12">
        <v>157684</v>
      </c>
      <c r="S243" s="12">
        <v>0</v>
      </c>
      <c r="U243" s="12">
        <v>0</v>
      </c>
      <c r="W243" s="12">
        <v>0</v>
      </c>
      <c r="Y243" s="12">
        <v>0</v>
      </c>
      <c r="AA243" s="12">
        <v>0</v>
      </c>
      <c r="AB243" s="12"/>
      <c r="AC243" s="12">
        <f t="shared" si="4"/>
        <v>6176933</v>
      </c>
    </row>
    <row r="244" spans="1:29" s="11" customFormat="1" ht="12">
      <c r="A244" s="11" t="s">
        <v>131</v>
      </c>
      <c r="C244" s="11" t="s">
        <v>135</v>
      </c>
      <c r="E244" s="12">
        <v>217065.85</v>
      </c>
      <c r="F244" s="12"/>
      <c r="G244" s="12">
        <v>33232.51</v>
      </c>
      <c r="H244" s="12"/>
      <c r="I244" s="12">
        <v>69647.4</v>
      </c>
      <c r="J244" s="12"/>
      <c r="K244" s="12">
        <v>53274.74</v>
      </c>
      <c r="L244" s="12"/>
      <c r="M244" s="12">
        <v>11848.64</v>
      </c>
      <c r="N244" s="12"/>
      <c r="O244" s="12">
        <v>5322.91</v>
      </c>
      <c r="P244" s="12"/>
      <c r="Q244" s="12">
        <v>8369.84</v>
      </c>
      <c r="R244" s="12"/>
      <c r="S244" s="12">
        <v>0</v>
      </c>
      <c r="T244" s="12"/>
      <c r="U244" s="12">
        <v>0</v>
      </c>
      <c r="V244" s="12"/>
      <c r="W244" s="12">
        <v>3816.54</v>
      </c>
      <c r="X244" s="12"/>
      <c r="Y244" s="12">
        <v>0</v>
      </c>
      <c r="Z244" s="12"/>
      <c r="AA244" s="12">
        <v>0</v>
      </c>
      <c r="AB244" s="12"/>
      <c r="AC244" s="12">
        <f t="shared" si="4"/>
        <v>402578.43</v>
      </c>
    </row>
    <row r="245" spans="1:29" s="11" customFormat="1" ht="12">
      <c r="A245" s="11" t="s">
        <v>416</v>
      </c>
      <c r="C245" s="11" t="s">
        <v>354</v>
      </c>
      <c r="E245" s="12">
        <v>2399868</v>
      </c>
      <c r="G245" s="12">
        <v>632854</v>
      </c>
      <c r="I245" s="12">
        <v>647393</v>
      </c>
      <c r="K245" s="12">
        <v>847037</v>
      </c>
      <c r="M245" s="12">
        <v>158237</v>
      </c>
      <c r="O245" s="12">
        <v>18863</v>
      </c>
      <c r="Q245" s="12">
        <v>137408</v>
      </c>
      <c r="S245" s="12">
        <v>0</v>
      </c>
      <c r="U245" s="12">
        <v>0</v>
      </c>
      <c r="W245" s="12">
        <v>625000</v>
      </c>
      <c r="Y245" s="12">
        <v>0</v>
      </c>
      <c r="AA245" s="12">
        <v>0</v>
      </c>
      <c r="AB245" s="12"/>
      <c r="AC245" s="12">
        <f t="shared" si="4"/>
        <v>5466660</v>
      </c>
    </row>
    <row r="246" spans="1:29" s="11" customFormat="1" ht="12">
      <c r="A246" s="11" t="s">
        <v>417</v>
      </c>
      <c r="C246" s="11" t="s">
        <v>158</v>
      </c>
      <c r="E246" s="12">
        <v>207788</v>
      </c>
      <c r="G246" s="12">
        <v>0</v>
      </c>
      <c r="I246" s="12">
        <v>42053</v>
      </c>
      <c r="K246" s="12">
        <v>52413</v>
      </c>
      <c r="M246" s="12">
        <v>6479</v>
      </c>
      <c r="O246" s="12">
        <v>4711</v>
      </c>
      <c r="Q246" s="12">
        <v>142912</v>
      </c>
      <c r="S246" s="12">
        <v>0</v>
      </c>
      <c r="U246" s="12">
        <v>0</v>
      </c>
      <c r="W246" s="12">
        <v>0</v>
      </c>
      <c r="Y246" s="12">
        <v>0</v>
      </c>
      <c r="AA246" s="12">
        <v>0</v>
      </c>
      <c r="AB246" s="12"/>
      <c r="AC246" s="12">
        <f t="shared" si="4"/>
        <v>456356</v>
      </c>
    </row>
    <row r="247" spans="1:29" s="11" customFormat="1" ht="12">
      <c r="A247" s="11" t="s">
        <v>418</v>
      </c>
      <c r="C247" s="11" t="s">
        <v>158</v>
      </c>
      <c r="E247" s="12">
        <v>887666.61</v>
      </c>
      <c r="F247" s="12"/>
      <c r="G247" s="12">
        <v>259936.92</v>
      </c>
      <c r="H247" s="12"/>
      <c r="I247" s="12">
        <v>232014.26</v>
      </c>
      <c r="J247" s="12"/>
      <c r="K247" s="12">
        <v>265530.44</v>
      </c>
      <c r="L247" s="12"/>
      <c r="M247" s="12">
        <v>39523.56</v>
      </c>
      <c r="N247" s="12"/>
      <c r="O247" s="12">
        <v>3986.42</v>
      </c>
      <c r="P247" s="12"/>
      <c r="Q247" s="12">
        <v>41764.4</v>
      </c>
      <c r="R247" s="12"/>
      <c r="S247" s="12">
        <v>0</v>
      </c>
      <c r="T247" s="12"/>
      <c r="U247" s="12">
        <v>0</v>
      </c>
      <c r="V247" s="12"/>
      <c r="W247" s="12">
        <v>23650.76</v>
      </c>
      <c r="X247" s="12"/>
      <c r="Y247" s="12">
        <v>0</v>
      </c>
      <c r="Z247" s="12"/>
      <c r="AA247" s="12">
        <v>0</v>
      </c>
      <c r="AB247" s="12"/>
      <c r="AC247" s="12">
        <f t="shared" si="4"/>
        <v>1754073.3699999999</v>
      </c>
    </row>
    <row r="248" spans="1:29" s="11" customFormat="1" ht="12">
      <c r="A248" s="11" t="s">
        <v>419</v>
      </c>
      <c r="C248" s="11" t="s">
        <v>144</v>
      </c>
      <c r="E248" s="12">
        <v>164448.15</v>
      </c>
      <c r="F248" s="12"/>
      <c r="G248" s="12">
        <v>48811.12</v>
      </c>
      <c r="H248" s="12"/>
      <c r="I248" s="12">
        <v>42142.01</v>
      </c>
      <c r="J248" s="12"/>
      <c r="K248" s="12">
        <v>86219.91</v>
      </c>
      <c r="L248" s="12"/>
      <c r="M248" s="12">
        <v>4284.55</v>
      </c>
      <c r="N248" s="12"/>
      <c r="O248" s="12">
        <v>7092</v>
      </c>
      <c r="P248" s="12"/>
      <c r="Q248" s="12">
        <v>6312.23</v>
      </c>
      <c r="R248" s="12"/>
      <c r="S248" s="12">
        <v>0</v>
      </c>
      <c r="T248" s="12"/>
      <c r="U248" s="12">
        <v>0</v>
      </c>
      <c r="V248" s="12"/>
      <c r="W248" s="12">
        <v>0</v>
      </c>
      <c r="X248" s="12"/>
      <c r="Y248" s="12">
        <v>0</v>
      </c>
      <c r="Z248" s="12"/>
      <c r="AA248" s="12">
        <v>0</v>
      </c>
      <c r="AB248" s="12"/>
      <c r="AC248" s="12">
        <f t="shared" si="4"/>
        <v>359309.97</v>
      </c>
    </row>
    <row r="249" spans="1:29" s="11" customFormat="1" ht="12">
      <c r="A249" s="11" t="s">
        <v>420</v>
      </c>
      <c r="C249" s="11" t="s">
        <v>158</v>
      </c>
      <c r="E249" s="12">
        <v>227887.6</v>
      </c>
      <c r="F249" s="12"/>
      <c r="G249" s="12">
        <v>74399.31</v>
      </c>
      <c r="H249" s="12"/>
      <c r="I249" s="12">
        <v>53488.1</v>
      </c>
      <c r="J249" s="12"/>
      <c r="K249" s="12">
        <v>84691.21</v>
      </c>
      <c r="L249" s="12"/>
      <c r="M249" s="12">
        <v>21219.11</v>
      </c>
      <c r="N249" s="12"/>
      <c r="O249" s="12">
        <v>2935.92</v>
      </c>
      <c r="P249" s="12"/>
      <c r="Q249" s="12">
        <v>40387.24</v>
      </c>
      <c r="R249" s="12"/>
      <c r="S249" s="12">
        <v>0</v>
      </c>
      <c r="T249" s="12"/>
      <c r="U249" s="12">
        <v>0</v>
      </c>
      <c r="V249" s="12"/>
      <c r="W249" s="12">
        <v>0</v>
      </c>
      <c r="X249" s="12"/>
      <c r="Y249" s="12">
        <v>0</v>
      </c>
      <c r="Z249" s="12"/>
      <c r="AA249" s="12">
        <v>0</v>
      </c>
      <c r="AB249" s="12"/>
      <c r="AC249" s="12">
        <f t="shared" si="4"/>
        <v>505008.49</v>
      </c>
    </row>
    <row r="250" spans="1:29" s="11" customFormat="1" ht="12">
      <c r="A250" s="11" t="s">
        <v>132</v>
      </c>
      <c r="C250" s="11" t="s">
        <v>106</v>
      </c>
      <c r="E250" s="12">
        <v>589159.3</v>
      </c>
      <c r="F250" s="12"/>
      <c r="G250" s="12">
        <v>214272.36</v>
      </c>
      <c r="H250" s="12"/>
      <c r="I250" s="12">
        <v>111486.9</v>
      </c>
      <c r="J250" s="12"/>
      <c r="K250" s="12">
        <v>224151.77</v>
      </c>
      <c r="L250" s="12"/>
      <c r="M250" s="12">
        <v>23527.47</v>
      </c>
      <c r="N250" s="12"/>
      <c r="O250" s="12">
        <v>7727.59</v>
      </c>
      <c r="P250" s="12"/>
      <c r="Q250" s="12">
        <v>1343.64</v>
      </c>
      <c r="R250" s="12"/>
      <c r="S250" s="12">
        <v>0</v>
      </c>
      <c r="T250" s="12"/>
      <c r="U250" s="12">
        <v>0</v>
      </c>
      <c r="V250" s="12"/>
      <c r="W250" s="12">
        <v>0</v>
      </c>
      <c r="X250" s="12"/>
      <c r="Y250" s="12">
        <v>0</v>
      </c>
      <c r="Z250" s="12"/>
      <c r="AA250" s="12">
        <v>0</v>
      </c>
      <c r="AB250" s="12"/>
      <c r="AC250" s="12">
        <f t="shared" si="4"/>
        <v>1171669.03</v>
      </c>
    </row>
    <row r="251" spans="1:29" s="11" customFormat="1" ht="12">
      <c r="A251" s="11" t="s">
        <v>421</v>
      </c>
      <c r="C251" s="11" t="s">
        <v>185</v>
      </c>
      <c r="E251" s="12">
        <v>530911</v>
      </c>
      <c r="G251" s="12">
        <v>111516</v>
      </c>
      <c r="I251" s="12">
        <v>129663</v>
      </c>
      <c r="K251" s="12">
        <v>86873</v>
      </c>
      <c r="M251" s="12">
        <v>19880</v>
      </c>
      <c r="O251" s="12">
        <v>6296</v>
      </c>
      <c r="Q251" s="12">
        <v>5728</v>
      </c>
      <c r="S251" s="12">
        <v>0</v>
      </c>
      <c r="U251" s="12">
        <v>0</v>
      </c>
      <c r="W251" s="12">
        <v>0</v>
      </c>
      <c r="Y251" s="12">
        <v>0</v>
      </c>
      <c r="AA251" s="12">
        <v>0</v>
      </c>
      <c r="AB251" s="12"/>
      <c r="AC251" s="12">
        <f t="shared" si="4"/>
        <v>890867</v>
      </c>
    </row>
    <row r="252" spans="1:29" s="11" customFormat="1" ht="12">
      <c r="A252" s="11" t="s">
        <v>422</v>
      </c>
      <c r="C252" s="11" t="s">
        <v>327</v>
      </c>
      <c r="E252" s="12">
        <v>871480</v>
      </c>
      <c r="G252" s="12">
        <v>252241</v>
      </c>
      <c r="I252" s="12">
        <v>231306</v>
      </c>
      <c r="K252" s="12">
        <v>267046</v>
      </c>
      <c r="M252" s="12">
        <v>54009</v>
      </c>
      <c r="O252" s="12">
        <v>25550</v>
      </c>
      <c r="Q252" s="12">
        <v>115637</v>
      </c>
      <c r="S252" s="12">
        <v>0</v>
      </c>
      <c r="U252" s="12">
        <v>0</v>
      </c>
      <c r="W252" s="12">
        <v>175000</v>
      </c>
      <c r="Y252" s="12">
        <v>0</v>
      </c>
      <c r="AA252" s="12">
        <v>0</v>
      </c>
      <c r="AB252" s="12"/>
      <c r="AC252" s="12">
        <f t="shared" si="4"/>
        <v>1992269</v>
      </c>
    </row>
    <row r="253" spans="1:29" ht="12">
      <c r="A253" s="2" t="s">
        <v>423</v>
      </c>
      <c r="C253" s="2" t="s">
        <v>106</v>
      </c>
      <c r="E253" s="3">
        <v>3026142</v>
      </c>
      <c r="G253" s="3">
        <v>0</v>
      </c>
      <c r="I253" s="3">
        <f>239938+621700</f>
        <v>861638</v>
      </c>
      <c r="K253" s="3">
        <v>134776</v>
      </c>
      <c r="M253" s="3">
        <v>480709</v>
      </c>
      <c r="O253" s="3">
        <v>0</v>
      </c>
      <c r="Q253" s="3">
        <v>0</v>
      </c>
      <c r="S253" s="3">
        <v>0</v>
      </c>
      <c r="U253" s="3">
        <v>0</v>
      </c>
      <c r="W253" s="3">
        <v>50000</v>
      </c>
      <c r="Y253" s="3">
        <v>0</v>
      </c>
      <c r="AA253" s="3">
        <v>0</v>
      </c>
      <c r="AB253" s="3"/>
      <c r="AC253" s="3">
        <f t="shared" si="4"/>
        <v>4553265</v>
      </c>
    </row>
    <row r="254" spans="1:29" ht="12">
      <c r="A254" s="2" t="s">
        <v>424</v>
      </c>
      <c r="C254" s="2" t="s">
        <v>162</v>
      </c>
      <c r="E254" s="3">
        <v>398828.93</v>
      </c>
      <c r="F254" s="3"/>
      <c r="G254" s="3">
        <v>107433.26</v>
      </c>
      <c r="H254" s="3"/>
      <c r="I254" s="3">
        <v>104311.25</v>
      </c>
      <c r="J254" s="3"/>
      <c r="K254" s="3">
        <v>87124.73</v>
      </c>
      <c r="L254" s="3"/>
      <c r="M254" s="3">
        <v>28661.39</v>
      </c>
      <c r="N254" s="3"/>
      <c r="O254" s="3">
        <v>7696.26</v>
      </c>
      <c r="P254" s="3"/>
      <c r="Q254" s="3">
        <v>3725.67</v>
      </c>
      <c r="R254" s="3"/>
      <c r="S254" s="3">
        <v>0</v>
      </c>
      <c r="T254" s="3"/>
      <c r="U254" s="3">
        <v>0</v>
      </c>
      <c r="V254" s="3"/>
      <c r="W254" s="3">
        <v>0</v>
      </c>
      <c r="X254" s="3"/>
      <c r="Y254" s="3">
        <v>0</v>
      </c>
      <c r="Z254" s="3"/>
      <c r="AA254" s="3">
        <v>0</v>
      </c>
      <c r="AB254" s="3"/>
      <c r="AC254" s="3">
        <f t="shared" si="4"/>
        <v>737781.49</v>
      </c>
    </row>
    <row r="255" spans="1:29" ht="12">
      <c r="A255" s="2" t="s">
        <v>425</v>
      </c>
      <c r="C255" s="2" t="s">
        <v>158</v>
      </c>
      <c r="E255" s="3">
        <v>886882</v>
      </c>
      <c r="G255" s="3">
        <v>231243</v>
      </c>
      <c r="I255" s="3">
        <v>293179</v>
      </c>
      <c r="K255" s="3">
        <v>307698</v>
      </c>
      <c r="M255" s="3">
        <v>49671</v>
      </c>
      <c r="O255" s="3">
        <v>18820</v>
      </c>
      <c r="Q255" s="3">
        <v>262035</v>
      </c>
      <c r="S255" s="3">
        <v>33869</v>
      </c>
      <c r="U255" s="3">
        <v>26826</v>
      </c>
      <c r="W255" s="3">
        <v>0</v>
      </c>
      <c r="Y255" s="3">
        <v>0</v>
      </c>
      <c r="AA255" s="3">
        <v>0</v>
      </c>
      <c r="AB255" s="3"/>
      <c r="AC255" s="3">
        <f t="shared" si="4"/>
        <v>2110223</v>
      </c>
    </row>
    <row r="256" spans="1:29" ht="12">
      <c r="A256" s="2" t="s">
        <v>426</v>
      </c>
      <c r="C256" s="2" t="s">
        <v>174</v>
      </c>
      <c r="E256" s="3">
        <v>156141.29</v>
      </c>
      <c r="F256" s="3"/>
      <c r="G256" s="3">
        <v>36227.8</v>
      </c>
      <c r="H256" s="3"/>
      <c r="I256" s="3">
        <v>58300.25</v>
      </c>
      <c r="J256" s="3"/>
      <c r="K256" s="3">
        <v>58204.82</v>
      </c>
      <c r="L256" s="3"/>
      <c r="M256" s="3">
        <v>8690.07</v>
      </c>
      <c r="N256" s="3"/>
      <c r="O256" s="3">
        <v>1204.75</v>
      </c>
      <c r="P256" s="3"/>
      <c r="Q256" s="3">
        <v>8049.42</v>
      </c>
      <c r="R256" s="3"/>
      <c r="S256" s="3">
        <v>0</v>
      </c>
      <c r="T256" s="3"/>
      <c r="U256" s="3">
        <v>0</v>
      </c>
      <c r="V256" s="3"/>
      <c r="W256" s="3">
        <v>0</v>
      </c>
      <c r="X256" s="3"/>
      <c r="Y256" s="3">
        <v>0</v>
      </c>
      <c r="Z256" s="3"/>
      <c r="AA256" s="3">
        <v>0</v>
      </c>
      <c r="AB256" s="3"/>
      <c r="AC256" s="3">
        <f t="shared" si="4"/>
        <v>326818.4</v>
      </c>
    </row>
    <row r="257" spans="1:29" ht="12">
      <c r="A257" s="2" t="s">
        <v>427</v>
      </c>
      <c r="C257" s="2" t="s">
        <v>163</v>
      </c>
      <c r="E257" s="3">
        <v>95890.4</v>
      </c>
      <c r="F257" s="3"/>
      <c r="G257" s="3">
        <v>14370.84</v>
      </c>
      <c r="H257" s="3"/>
      <c r="I257" s="3">
        <v>45322.54</v>
      </c>
      <c r="J257" s="3"/>
      <c r="K257" s="3">
        <v>28243.03</v>
      </c>
      <c r="L257" s="3"/>
      <c r="M257" s="3">
        <v>2596.39</v>
      </c>
      <c r="N257" s="3"/>
      <c r="O257" s="3">
        <v>432.01</v>
      </c>
      <c r="P257" s="3"/>
      <c r="Q257" s="3">
        <v>70389.03</v>
      </c>
      <c r="R257" s="3"/>
      <c r="S257" s="3">
        <v>0</v>
      </c>
      <c r="T257" s="3"/>
      <c r="U257" s="3">
        <v>0</v>
      </c>
      <c r="V257" s="3"/>
      <c r="W257" s="3">
        <v>0</v>
      </c>
      <c r="X257" s="3"/>
      <c r="Y257" s="3">
        <v>0</v>
      </c>
      <c r="Z257" s="3"/>
      <c r="AA257" s="3">
        <v>0</v>
      </c>
      <c r="AB257" s="3"/>
      <c r="AC257" s="3">
        <f t="shared" si="4"/>
        <v>257244.24000000002</v>
      </c>
    </row>
    <row r="258" spans="1:29" ht="12">
      <c r="A258" s="2" t="s">
        <v>428</v>
      </c>
      <c r="C258" s="2" t="s">
        <v>188</v>
      </c>
      <c r="E258" s="3">
        <v>2917050</v>
      </c>
      <c r="G258" s="3">
        <v>1769799</v>
      </c>
      <c r="I258" s="3">
        <v>1225861</v>
      </c>
      <c r="K258" s="3">
        <v>271218</v>
      </c>
      <c r="M258" s="3">
        <v>528980</v>
      </c>
      <c r="O258" s="3">
        <v>0</v>
      </c>
      <c r="Q258" s="3">
        <v>86108</v>
      </c>
      <c r="S258" s="3">
        <v>0</v>
      </c>
      <c r="U258" s="3">
        <v>0</v>
      </c>
      <c r="W258" s="3">
        <v>1156910</v>
      </c>
      <c r="Y258" s="3">
        <v>0</v>
      </c>
      <c r="AA258" s="3">
        <v>0</v>
      </c>
      <c r="AB258" s="3"/>
      <c r="AC258" s="3">
        <f t="shared" si="4"/>
        <v>7955926</v>
      </c>
    </row>
    <row r="259" spans="1:29" ht="12">
      <c r="A259" s="2" t="s">
        <v>429</v>
      </c>
      <c r="C259" s="2" t="s">
        <v>148</v>
      </c>
      <c r="E259" s="3">
        <v>837292.59</v>
      </c>
      <c r="F259" s="3"/>
      <c r="G259" s="3">
        <v>227259.98</v>
      </c>
      <c r="H259" s="3"/>
      <c r="I259" s="3">
        <v>193437.42</v>
      </c>
      <c r="J259" s="3"/>
      <c r="K259" s="3">
        <v>262555.48</v>
      </c>
      <c r="L259" s="3"/>
      <c r="M259" s="3">
        <v>31387.28</v>
      </c>
      <c r="N259" s="3"/>
      <c r="O259" s="3">
        <v>5688.43</v>
      </c>
      <c r="P259" s="3"/>
      <c r="Q259" s="3">
        <v>50887.92</v>
      </c>
      <c r="R259" s="3"/>
      <c r="S259" s="3">
        <v>0</v>
      </c>
      <c r="T259" s="3"/>
      <c r="U259" s="3">
        <v>0</v>
      </c>
      <c r="V259" s="3"/>
      <c r="W259" s="3">
        <v>0</v>
      </c>
      <c r="X259" s="3"/>
      <c r="Y259" s="3">
        <v>0</v>
      </c>
      <c r="Z259" s="3"/>
      <c r="AA259" s="3">
        <v>0</v>
      </c>
      <c r="AB259" s="3"/>
      <c r="AC259" s="3">
        <f t="shared" si="4"/>
        <v>1608509.0999999999</v>
      </c>
    </row>
  </sheetData>
  <printOptions/>
  <pageMargins left="0.75" right="0.75" top="0.5" bottom="0.5" header="0" footer="0.3"/>
  <pageSetup firstPageNumber="14" useFirstPageNumber="1" horizontalDpi="300" verticalDpi="300" orientation="portrait" pageOrder="overThenDown" scale="80" r:id="rId1"/>
  <headerFooter alignWithMargins="0">
    <oddFooter>&amp;C&amp;"Times New Roman,Regular"&amp;13&amp;P</oddFooter>
  </headerFooter>
  <rowBreaks count="3" manualBreakCount="3">
    <brk id="72" max="28" man="1"/>
    <brk id="135" max="255" man="1"/>
    <brk id="199" max="255" man="1"/>
  </rowBreaks>
  <colBreaks count="1" manualBreakCount="1">
    <brk id="14" min="7" max="2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260"/>
  <sheetViews>
    <sheetView view="pageBreakPreview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5" sqref="A5"/>
    </sheetView>
  </sheetViews>
  <sheetFormatPr defaultColWidth="9.140625" defaultRowHeight="12.75"/>
  <cols>
    <col min="1" max="1" width="30.7109375" style="2" customWidth="1"/>
    <col min="2" max="2" width="1.7109375" style="2" customWidth="1"/>
    <col min="3" max="3" width="10.7109375" style="2" customWidth="1"/>
    <col min="4" max="4" width="1.7109375" style="2" customWidth="1"/>
    <col min="5" max="5" width="11.7109375" style="2" customWidth="1"/>
    <col min="6" max="6" width="1.7109375" style="2" customWidth="1"/>
    <col min="7" max="7" width="11.7109375" style="2" customWidth="1"/>
    <col min="8" max="8" width="1.7109375" style="2" customWidth="1"/>
    <col min="9" max="9" width="13.7109375" style="2" customWidth="1"/>
    <col min="10" max="10" width="1.7109375" style="2" customWidth="1"/>
    <col min="11" max="11" width="11.7109375" style="2" customWidth="1"/>
    <col min="12" max="12" width="1.7109375" style="2" customWidth="1"/>
    <col min="13" max="13" width="11.7109375" style="2" customWidth="1"/>
    <col min="14" max="14" width="1.7109375" style="2" customWidth="1"/>
    <col min="15" max="15" width="11.7109375" style="2" customWidth="1"/>
    <col min="16" max="16" width="1.7109375" style="2" customWidth="1"/>
    <col min="17" max="17" width="11.7109375" style="2" customWidth="1"/>
    <col min="18" max="18" width="1.7109375" style="2" customWidth="1"/>
    <col min="19" max="19" width="11.7109375" style="2" customWidth="1"/>
    <col min="20" max="20" width="1.7109375" style="2" customWidth="1"/>
    <col min="21" max="21" width="11.7109375" style="2" customWidth="1"/>
    <col min="22" max="22" width="1.7109375" style="2" customWidth="1"/>
    <col min="23" max="23" width="11.7109375" style="2" customWidth="1"/>
    <col min="24" max="24" width="1.7109375" style="2" customWidth="1"/>
    <col min="25" max="25" width="11.7109375" style="2" customWidth="1"/>
    <col min="26" max="26" width="1.7109375" style="2" customWidth="1"/>
    <col min="27" max="27" width="11.7109375" style="2" customWidth="1"/>
    <col min="28" max="28" width="1.7109375" style="2" customWidth="1"/>
    <col min="29" max="29" width="13.7109375" style="2" customWidth="1"/>
    <col min="30" max="16384" width="9.140625" style="2" customWidth="1"/>
  </cols>
  <sheetData>
    <row r="1" ht="12">
      <c r="A1" s="2" t="s">
        <v>607</v>
      </c>
    </row>
    <row r="2" ht="12">
      <c r="A2" s="2" t="s">
        <v>513</v>
      </c>
    </row>
    <row r="3" ht="12">
      <c r="A3" s="39"/>
    </row>
    <row r="5" s="10" customFormat="1" ht="12">
      <c r="G5" s="10" t="s">
        <v>431</v>
      </c>
    </row>
    <row r="6" spans="5:27" s="10" customFormat="1" ht="12">
      <c r="E6" s="10" t="s">
        <v>122</v>
      </c>
      <c r="G6" s="10" t="s">
        <v>432</v>
      </c>
      <c r="M6" s="10" t="s">
        <v>120</v>
      </c>
      <c r="O6" s="10" t="s">
        <v>439</v>
      </c>
      <c r="U6" s="10" t="s">
        <v>444</v>
      </c>
      <c r="AA6" s="10" t="s">
        <v>0</v>
      </c>
    </row>
    <row r="7" spans="5:27" s="10" customFormat="1" ht="12" customHeight="1">
      <c r="E7" s="10" t="s">
        <v>0</v>
      </c>
      <c r="G7" s="10" t="s">
        <v>433</v>
      </c>
      <c r="K7" s="10" t="s">
        <v>435</v>
      </c>
      <c r="M7" s="10" t="s">
        <v>437</v>
      </c>
      <c r="O7" s="10" t="s">
        <v>440</v>
      </c>
      <c r="Q7" s="10" t="s">
        <v>442</v>
      </c>
      <c r="U7" s="10" t="s">
        <v>445</v>
      </c>
      <c r="AA7" s="10" t="s">
        <v>446</v>
      </c>
    </row>
    <row r="8" spans="1:29" s="10" customFormat="1" ht="12" customHeight="1">
      <c r="A8" s="1"/>
      <c r="B8" s="1"/>
      <c r="C8" s="1" t="s">
        <v>11</v>
      </c>
      <c r="D8" s="6"/>
      <c r="E8" s="1" t="s">
        <v>430</v>
      </c>
      <c r="F8" s="6"/>
      <c r="G8" s="1" t="s">
        <v>434</v>
      </c>
      <c r="H8" s="6"/>
      <c r="I8" s="1" t="s">
        <v>6</v>
      </c>
      <c r="J8" s="6"/>
      <c r="K8" s="1" t="s">
        <v>436</v>
      </c>
      <c r="L8" s="6"/>
      <c r="M8" s="1" t="s">
        <v>438</v>
      </c>
      <c r="N8" s="6"/>
      <c r="O8" s="1" t="s">
        <v>441</v>
      </c>
      <c r="P8" s="6"/>
      <c r="Q8" s="1" t="s">
        <v>443</v>
      </c>
      <c r="R8" s="6"/>
      <c r="S8" s="1" t="s">
        <v>1</v>
      </c>
      <c r="T8" s="6"/>
      <c r="U8" s="1" t="s">
        <v>123</v>
      </c>
      <c r="V8" s="6"/>
      <c r="W8" s="1" t="s">
        <v>2</v>
      </c>
      <c r="X8" s="6"/>
      <c r="Y8" s="1" t="s">
        <v>4</v>
      </c>
      <c r="Z8" s="6"/>
      <c r="AA8" s="1" t="s">
        <v>447</v>
      </c>
      <c r="AB8" s="6"/>
      <c r="AC8" s="7" t="s">
        <v>119</v>
      </c>
    </row>
    <row r="9" spans="1:29" s="5" customFormat="1" ht="12">
      <c r="A9" s="5" t="s">
        <v>166</v>
      </c>
      <c r="C9" s="5" t="s">
        <v>154</v>
      </c>
      <c r="E9" s="5">
        <v>0</v>
      </c>
      <c r="G9" s="5">
        <v>292626.8</v>
      </c>
      <c r="I9" s="5">
        <v>0</v>
      </c>
      <c r="K9" s="5">
        <v>4771.89</v>
      </c>
      <c r="M9" s="5">
        <v>0</v>
      </c>
      <c r="O9" s="5">
        <v>14510.76</v>
      </c>
      <c r="Q9" s="5">
        <v>68670.91</v>
      </c>
      <c r="S9" s="5">
        <v>24</v>
      </c>
      <c r="U9" s="5">
        <v>0</v>
      </c>
      <c r="W9" s="5">
        <v>57500</v>
      </c>
      <c r="Y9" s="5">
        <v>0</v>
      </c>
      <c r="AA9" s="5">
        <v>0</v>
      </c>
      <c r="AC9" s="5">
        <f>SUM(E9:AA9)</f>
        <v>438104.36</v>
      </c>
    </row>
    <row r="10" spans="1:29" s="12" customFormat="1" ht="12">
      <c r="A10" s="12" t="s">
        <v>167</v>
      </c>
      <c r="C10" s="12" t="s">
        <v>133</v>
      </c>
      <c r="D10" s="39"/>
      <c r="E10" s="12">
        <v>0</v>
      </c>
      <c r="G10" s="12">
        <v>997464.5</v>
      </c>
      <c r="I10" s="12">
        <v>0</v>
      </c>
      <c r="K10" s="12">
        <v>32086.6</v>
      </c>
      <c r="M10" s="12">
        <v>0</v>
      </c>
      <c r="O10" s="12">
        <v>585</v>
      </c>
      <c r="Q10" s="12">
        <v>78656.45</v>
      </c>
      <c r="S10" s="12">
        <v>1262.07</v>
      </c>
      <c r="U10" s="12">
        <v>0</v>
      </c>
      <c r="W10" s="12">
        <v>0</v>
      </c>
      <c r="Y10" s="12">
        <v>0</v>
      </c>
      <c r="AA10" s="12">
        <v>0</v>
      </c>
      <c r="AC10" s="12">
        <f>SUM(E10:AA10)</f>
        <v>1110054.62</v>
      </c>
    </row>
    <row r="11" spans="1:29" s="12" customFormat="1" ht="12">
      <c r="A11" s="12" t="s">
        <v>124</v>
      </c>
      <c r="C11" s="12" t="s">
        <v>134</v>
      </c>
      <c r="E11" s="12">
        <v>0</v>
      </c>
      <c r="G11" s="12">
        <v>313806.35</v>
      </c>
      <c r="I11" s="12">
        <v>0</v>
      </c>
      <c r="K11" s="12">
        <v>7378.93</v>
      </c>
      <c r="M11" s="12">
        <v>0</v>
      </c>
      <c r="O11" s="12">
        <v>835</v>
      </c>
      <c r="Q11" s="12">
        <v>29530.16</v>
      </c>
      <c r="S11" s="12">
        <v>1622.54</v>
      </c>
      <c r="U11" s="12">
        <v>1317.59</v>
      </c>
      <c r="W11" s="12">
        <v>0</v>
      </c>
      <c r="Y11" s="12">
        <v>0</v>
      </c>
      <c r="AA11" s="12">
        <v>0</v>
      </c>
      <c r="AC11" s="12">
        <f aca="true" t="shared" si="0" ref="AC11:AC72">SUM(E11:AA11)</f>
        <v>354490.56999999995</v>
      </c>
    </row>
    <row r="12" spans="1:29" s="12" customFormat="1" ht="12">
      <c r="A12" s="12" t="s">
        <v>168</v>
      </c>
      <c r="C12" s="12" t="s">
        <v>154</v>
      </c>
      <c r="E12" s="12">
        <v>0</v>
      </c>
      <c r="G12" s="12">
        <v>70095.36</v>
      </c>
      <c r="I12" s="12">
        <v>0</v>
      </c>
      <c r="K12" s="12">
        <v>1917.15</v>
      </c>
      <c r="M12" s="12">
        <v>0</v>
      </c>
      <c r="O12" s="12">
        <v>275</v>
      </c>
      <c r="Q12" s="12">
        <v>3832.77</v>
      </c>
      <c r="S12" s="12">
        <v>293</v>
      </c>
      <c r="U12" s="12">
        <v>172.36</v>
      </c>
      <c r="W12" s="12">
        <v>0</v>
      </c>
      <c r="Y12" s="12">
        <v>0</v>
      </c>
      <c r="AA12" s="12">
        <v>0</v>
      </c>
      <c r="AC12" s="12">
        <f t="shared" si="0"/>
        <v>76585.64</v>
      </c>
    </row>
    <row r="13" spans="1:29" s="12" customFormat="1" ht="12">
      <c r="A13" s="12" t="s">
        <v>169</v>
      </c>
      <c r="C13" s="12" t="s">
        <v>150</v>
      </c>
      <c r="E13" s="12">
        <v>0</v>
      </c>
      <c r="G13" s="12">
        <v>773949.98</v>
      </c>
      <c r="I13" s="12">
        <v>53066.04</v>
      </c>
      <c r="K13" s="12">
        <v>29426.95</v>
      </c>
      <c r="M13" s="12">
        <v>0</v>
      </c>
      <c r="O13" s="12">
        <v>350</v>
      </c>
      <c r="Q13" s="12">
        <v>67252.5</v>
      </c>
      <c r="S13" s="12">
        <v>3001.32</v>
      </c>
      <c r="U13" s="12">
        <v>0</v>
      </c>
      <c r="W13" s="12">
        <v>100000</v>
      </c>
      <c r="Y13" s="12">
        <v>0</v>
      </c>
      <c r="AA13" s="12">
        <v>0</v>
      </c>
      <c r="AC13" s="12">
        <f t="shared" si="0"/>
        <v>1027046.7899999999</v>
      </c>
    </row>
    <row r="14" spans="1:29" s="12" customFormat="1" ht="12">
      <c r="A14" s="12" t="s">
        <v>170</v>
      </c>
      <c r="C14" s="12" t="s">
        <v>171</v>
      </c>
      <c r="E14" s="12">
        <v>0</v>
      </c>
      <c r="G14" s="12">
        <v>1781248</v>
      </c>
      <c r="I14" s="12">
        <v>0</v>
      </c>
      <c r="K14" s="12">
        <v>32706</v>
      </c>
      <c r="M14" s="12">
        <v>0</v>
      </c>
      <c r="O14" s="12">
        <v>25385</v>
      </c>
      <c r="Q14" s="12">
        <v>249076</v>
      </c>
      <c r="S14" s="12">
        <v>5530</v>
      </c>
      <c r="U14" s="12">
        <v>0</v>
      </c>
      <c r="W14" s="12">
        <v>0</v>
      </c>
      <c r="Y14" s="12">
        <v>0</v>
      </c>
      <c r="AA14" s="12">
        <v>0</v>
      </c>
      <c r="AC14" s="12">
        <f t="shared" si="0"/>
        <v>2093945</v>
      </c>
    </row>
    <row r="15" spans="1:29" s="12" customFormat="1" ht="12">
      <c r="A15" s="12" t="s">
        <v>172</v>
      </c>
      <c r="C15" s="12" t="s">
        <v>136</v>
      </c>
      <c r="E15" s="12">
        <v>0</v>
      </c>
      <c r="G15" s="12">
        <v>270118</v>
      </c>
      <c r="I15" s="12">
        <v>0</v>
      </c>
      <c r="K15" s="12">
        <v>12363</v>
      </c>
      <c r="M15" s="12">
        <v>0</v>
      </c>
      <c r="O15" s="12">
        <v>7674</v>
      </c>
      <c r="Q15" s="12">
        <v>5433</v>
      </c>
      <c r="S15" s="12">
        <v>0</v>
      </c>
      <c r="U15" s="12">
        <v>0</v>
      </c>
      <c r="W15" s="12">
        <v>0</v>
      </c>
      <c r="Y15" s="12">
        <v>0</v>
      </c>
      <c r="AA15" s="12">
        <v>0</v>
      </c>
      <c r="AC15" s="12">
        <f t="shared" si="0"/>
        <v>295588</v>
      </c>
    </row>
    <row r="16" spans="1:29" s="12" customFormat="1" ht="12">
      <c r="A16" s="12" t="s">
        <v>173</v>
      </c>
      <c r="C16" s="12" t="s">
        <v>174</v>
      </c>
      <c r="E16" s="12">
        <v>0</v>
      </c>
      <c r="G16" s="12">
        <v>304439.41</v>
      </c>
      <c r="I16" s="12">
        <v>0</v>
      </c>
      <c r="K16" s="12">
        <v>7416.89</v>
      </c>
      <c r="M16" s="12">
        <v>0</v>
      </c>
      <c r="O16" s="12">
        <v>8274.22</v>
      </c>
      <c r="Q16" s="12">
        <v>9236.34</v>
      </c>
      <c r="S16" s="12">
        <v>311.18</v>
      </c>
      <c r="U16" s="12">
        <v>0</v>
      </c>
      <c r="W16" s="12">
        <v>0</v>
      </c>
      <c r="Y16" s="12">
        <v>0</v>
      </c>
      <c r="AA16" s="12">
        <v>0</v>
      </c>
      <c r="AC16" s="12">
        <f t="shared" si="0"/>
        <v>329678.04</v>
      </c>
    </row>
    <row r="17" spans="1:29" s="12" customFormat="1" ht="12">
      <c r="A17" s="12" t="s">
        <v>175</v>
      </c>
      <c r="C17" s="12" t="s">
        <v>135</v>
      </c>
      <c r="E17" s="12">
        <v>0</v>
      </c>
      <c r="G17" s="12">
        <v>279886.04</v>
      </c>
      <c r="I17" s="12">
        <v>14388.68</v>
      </c>
      <c r="K17" s="12">
        <v>15678.11</v>
      </c>
      <c r="M17" s="12">
        <v>0</v>
      </c>
      <c r="O17" s="12">
        <v>6184.64</v>
      </c>
      <c r="Q17" s="12">
        <v>15500.33</v>
      </c>
      <c r="S17" s="12">
        <v>4825.56</v>
      </c>
      <c r="U17" s="12">
        <v>0</v>
      </c>
      <c r="W17" s="12">
        <v>0</v>
      </c>
      <c r="Y17" s="12">
        <v>0</v>
      </c>
      <c r="AA17" s="12">
        <v>0</v>
      </c>
      <c r="AC17" s="12">
        <f t="shared" si="0"/>
        <v>336463.36</v>
      </c>
    </row>
    <row r="18" spans="1:29" s="12" customFormat="1" ht="12">
      <c r="A18" s="12" t="s">
        <v>176</v>
      </c>
      <c r="C18" s="12" t="s">
        <v>177</v>
      </c>
      <c r="E18" s="12">
        <v>12206</v>
      </c>
      <c r="G18" s="12">
        <v>0</v>
      </c>
      <c r="I18" s="12">
        <v>1256366</v>
      </c>
      <c r="K18" s="12">
        <v>50863</v>
      </c>
      <c r="M18" s="12">
        <v>0</v>
      </c>
      <c r="O18" s="12">
        <v>20508</v>
      </c>
      <c r="Q18" s="12">
        <v>105244</v>
      </c>
      <c r="S18" s="12">
        <v>26637</v>
      </c>
      <c r="U18" s="12">
        <v>0</v>
      </c>
      <c r="W18" s="12">
        <v>200000</v>
      </c>
      <c r="Y18" s="12">
        <v>0</v>
      </c>
      <c r="AA18" s="12">
        <v>0</v>
      </c>
      <c r="AC18" s="12">
        <f t="shared" si="0"/>
        <v>1671824</v>
      </c>
    </row>
    <row r="19" spans="1:29" s="12" customFormat="1" ht="12">
      <c r="A19" s="12" t="s">
        <v>178</v>
      </c>
      <c r="C19" s="12" t="s">
        <v>136</v>
      </c>
      <c r="E19" s="12">
        <v>0</v>
      </c>
      <c r="G19" s="12">
        <v>0</v>
      </c>
      <c r="I19" s="12">
        <v>0</v>
      </c>
      <c r="K19" s="12">
        <v>40614.24</v>
      </c>
      <c r="M19" s="12">
        <v>0</v>
      </c>
      <c r="O19" s="12">
        <v>9887.54</v>
      </c>
      <c r="Q19" s="12">
        <v>79963.71</v>
      </c>
      <c r="S19" s="12">
        <v>89663.84</v>
      </c>
      <c r="U19" s="12">
        <v>130000</v>
      </c>
      <c r="W19" s="12">
        <v>194263.24</v>
      </c>
      <c r="Y19" s="12">
        <v>0</v>
      </c>
      <c r="AA19" s="12">
        <v>0</v>
      </c>
      <c r="AC19" s="12">
        <f t="shared" si="0"/>
        <v>544392.5700000001</v>
      </c>
    </row>
    <row r="20" spans="1:29" s="12" customFormat="1" ht="12">
      <c r="A20" s="12" t="s">
        <v>179</v>
      </c>
      <c r="C20" s="12" t="s">
        <v>137</v>
      </c>
      <c r="E20" s="12">
        <v>0</v>
      </c>
      <c r="G20" s="12">
        <v>1242021.37</v>
      </c>
      <c r="I20" s="12">
        <v>0</v>
      </c>
      <c r="K20" s="12">
        <v>19822.37</v>
      </c>
      <c r="M20" s="12">
        <v>0</v>
      </c>
      <c r="O20" s="12">
        <v>13929.9</v>
      </c>
      <c r="Q20" s="12">
        <v>108594.69</v>
      </c>
      <c r="S20" s="12">
        <v>24907.84</v>
      </c>
      <c r="U20" s="12">
        <v>0</v>
      </c>
      <c r="W20" s="12">
        <v>20000</v>
      </c>
      <c r="Y20" s="12">
        <v>0</v>
      </c>
      <c r="AA20" s="12">
        <v>0</v>
      </c>
      <c r="AC20" s="12">
        <f t="shared" si="0"/>
        <v>1429276.1700000002</v>
      </c>
    </row>
    <row r="21" spans="1:29" s="12" customFormat="1" ht="12">
      <c r="A21" s="12" t="s">
        <v>180</v>
      </c>
      <c r="C21" s="12" t="s">
        <v>150</v>
      </c>
      <c r="E21" s="12">
        <v>1238116</v>
      </c>
      <c r="G21" s="12">
        <v>789585</v>
      </c>
      <c r="I21" s="12">
        <v>140782</v>
      </c>
      <c r="K21" s="12">
        <v>60283</v>
      </c>
      <c r="M21" s="12">
        <v>0</v>
      </c>
      <c r="O21" s="12">
        <v>505</v>
      </c>
      <c r="Q21" s="12">
        <v>40855</v>
      </c>
      <c r="S21" s="12">
        <v>0</v>
      </c>
      <c r="U21" s="12">
        <v>0</v>
      </c>
      <c r="W21" s="12">
        <v>0</v>
      </c>
      <c r="Y21" s="12">
        <v>0</v>
      </c>
      <c r="AA21" s="12">
        <v>0</v>
      </c>
      <c r="AC21" s="12">
        <f t="shared" si="0"/>
        <v>2270126</v>
      </c>
    </row>
    <row r="22" spans="1:60" s="38" customFormat="1" ht="12">
      <c r="A22" s="11" t="s">
        <v>523</v>
      </c>
      <c r="B22" s="11"/>
      <c r="C22" s="12" t="s">
        <v>602</v>
      </c>
      <c r="D22" s="12"/>
      <c r="E22" s="12">
        <v>0</v>
      </c>
      <c r="F22" s="12"/>
      <c r="G22" s="12">
        <v>1097723.77</v>
      </c>
      <c r="H22" s="12"/>
      <c r="I22" s="12">
        <v>56589.4</v>
      </c>
      <c r="J22" s="12"/>
      <c r="K22" s="12">
        <v>33734.98</v>
      </c>
      <c r="L22" s="12"/>
      <c r="M22" s="12">
        <v>0</v>
      </c>
      <c r="N22" s="12"/>
      <c r="O22" s="12">
        <v>4101.31</v>
      </c>
      <c r="P22" s="12"/>
      <c r="Q22" s="12">
        <v>21019.66</v>
      </c>
      <c r="R22" s="12"/>
      <c r="S22" s="12">
        <v>2961.34</v>
      </c>
      <c r="T22" s="12"/>
      <c r="U22" s="12">
        <v>0</v>
      </c>
      <c r="V22" s="12"/>
      <c r="W22" s="12">
        <v>20000</v>
      </c>
      <c r="X22" s="12"/>
      <c r="Y22" s="12">
        <v>0</v>
      </c>
      <c r="Z22" s="12"/>
      <c r="AA22" s="12">
        <v>0</v>
      </c>
      <c r="AB22" s="36"/>
      <c r="AC22" s="12">
        <f t="shared" si="0"/>
        <v>1236130.46</v>
      </c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29" s="12" customFormat="1" ht="12">
      <c r="A23" s="12" t="s">
        <v>112</v>
      </c>
      <c r="C23" s="12" t="s">
        <v>104</v>
      </c>
      <c r="E23" s="12">
        <v>0</v>
      </c>
      <c r="G23" s="12">
        <v>0</v>
      </c>
      <c r="I23" s="12">
        <v>513655</v>
      </c>
      <c r="K23" s="12">
        <v>19230</v>
      </c>
      <c r="M23" s="12">
        <v>0</v>
      </c>
      <c r="O23" s="12">
        <v>4970</v>
      </c>
      <c r="Q23" s="12">
        <v>26410</v>
      </c>
      <c r="S23" s="12">
        <v>2784</v>
      </c>
      <c r="U23" s="12">
        <v>0</v>
      </c>
      <c r="W23" s="12">
        <v>65000</v>
      </c>
      <c r="Y23" s="12">
        <v>0</v>
      </c>
      <c r="AA23" s="12">
        <v>0</v>
      </c>
      <c r="AC23" s="12">
        <f t="shared" si="0"/>
        <v>632049</v>
      </c>
    </row>
    <row r="24" spans="1:29" s="12" customFormat="1" ht="12">
      <c r="A24" s="12" t="s">
        <v>181</v>
      </c>
      <c r="C24" s="12" t="s">
        <v>104</v>
      </c>
      <c r="E24" s="12">
        <v>0</v>
      </c>
      <c r="G24" s="12">
        <v>513655.46</v>
      </c>
      <c r="I24" s="12">
        <v>0</v>
      </c>
      <c r="K24" s="12">
        <v>10159.72</v>
      </c>
      <c r="M24" s="12">
        <v>0</v>
      </c>
      <c r="O24" s="12">
        <v>2956</v>
      </c>
      <c r="Q24" s="12">
        <v>42632.07</v>
      </c>
      <c r="S24" s="12">
        <v>2675.96</v>
      </c>
      <c r="U24" s="12">
        <v>0</v>
      </c>
      <c r="W24" s="12">
        <v>0</v>
      </c>
      <c r="Y24" s="12">
        <v>0</v>
      </c>
      <c r="AA24" s="12">
        <v>0</v>
      </c>
      <c r="AC24" s="12">
        <f t="shared" si="0"/>
        <v>572079.2099999998</v>
      </c>
    </row>
    <row r="25" spans="1:29" s="12" customFormat="1" ht="12">
      <c r="A25" s="12" t="s">
        <v>182</v>
      </c>
      <c r="C25" s="12" t="s">
        <v>183</v>
      </c>
      <c r="E25" s="12">
        <v>0</v>
      </c>
      <c r="G25" s="12">
        <v>83847</v>
      </c>
      <c r="I25" s="12">
        <v>0</v>
      </c>
      <c r="K25" s="12">
        <v>2598</v>
      </c>
      <c r="M25" s="12">
        <v>0</v>
      </c>
      <c r="O25" s="12">
        <v>228</v>
      </c>
      <c r="Q25" s="12">
        <v>4979</v>
      </c>
      <c r="S25" s="12">
        <v>117</v>
      </c>
      <c r="U25" s="12">
        <v>0</v>
      </c>
      <c r="W25" s="12">
        <v>0</v>
      </c>
      <c r="Y25" s="12">
        <v>0</v>
      </c>
      <c r="AA25" s="12">
        <v>0</v>
      </c>
      <c r="AC25" s="12">
        <f t="shared" si="0"/>
        <v>91769</v>
      </c>
    </row>
    <row r="26" spans="1:29" s="12" customFormat="1" ht="12">
      <c r="A26" s="12" t="s">
        <v>184</v>
      </c>
      <c r="C26" s="12" t="s">
        <v>185</v>
      </c>
      <c r="E26" s="12">
        <v>266214</v>
      </c>
      <c r="G26" s="12">
        <v>0</v>
      </c>
      <c r="I26" s="12">
        <v>695906</v>
      </c>
      <c r="K26" s="12">
        <v>26294</v>
      </c>
      <c r="M26" s="12">
        <v>0</v>
      </c>
      <c r="O26" s="12">
        <v>82868</v>
      </c>
      <c r="Q26" s="12">
        <v>31245</v>
      </c>
      <c r="S26" s="12">
        <v>973</v>
      </c>
      <c r="U26" s="12">
        <v>0</v>
      </c>
      <c r="W26" s="12">
        <v>0</v>
      </c>
      <c r="Y26" s="12">
        <v>0</v>
      </c>
      <c r="AA26" s="12">
        <v>0</v>
      </c>
      <c r="AC26" s="12">
        <f t="shared" si="0"/>
        <v>1103500</v>
      </c>
    </row>
    <row r="27" spans="1:29" s="12" customFormat="1" ht="12">
      <c r="A27" s="12" t="s">
        <v>186</v>
      </c>
      <c r="C27" s="12" t="s">
        <v>138</v>
      </c>
      <c r="E27" s="12">
        <v>5431</v>
      </c>
      <c r="G27" s="12">
        <v>150610</v>
      </c>
      <c r="I27" s="12">
        <v>0</v>
      </c>
      <c r="K27" s="12">
        <v>4599</v>
      </c>
      <c r="M27" s="12">
        <v>0</v>
      </c>
      <c r="O27" s="12">
        <v>337</v>
      </c>
      <c r="Q27" s="12">
        <v>0</v>
      </c>
      <c r="S27" s="12">
        <v>6838</v>
      </c>
      <c r="U27" s="12">
        <v>0</v>
      </c>
      <c r="W27" s="12">
        <v>0</v>
      </c>
      <c r="Y27" s="12">
        <v>0</v>
      </c>
      <c r="AA27" s="12">
        <v>0</v>
      </c>
      <c r="AC27" s="12">
        <f t="shared" si="0"/>
        <v>167815</v>
      </c>
    </row>
    <row r="28" spans="1:29" s="12" customFormat="1" ht="12">
      <c r="A28" s="12" t="s">
        <v>187</v>
      </c>
      <c r="C28" s="12" t="s">
        <v>188</v>
      </c>
      <c r="E28" s="12">
        <v>0</v>
      </c>
      <c r="G28" s="12">
        <v>1886470</v>
      </c>
      <c r="I28" s="12">
        <v>0</v>
      </c>
      <c r="K28" s="12">
        <v>70885</v>
      </c>
      <c r="M28" s="12">
        <v>0</v>
      </c>
      <c r="O28" s="12">
        <v>14545</v>
      </c>
      <c r="Q28" s="12">
        <v>67710</v>
      </c>
      <c r="S28" s="12">
        <v>7010</v>
      </c>
      <c r="U28" s="12">
        <v>0</v>
      </c>
      <c r="W28" s="12">
        <v>0</v>
      </c>
      <c r="Y28" s="12">
        <v>0</v>
      </c>
      <c r="AA28" s="12">
        <v>0</v>
      </c>
      <c r="AC28" s="12">
        <f t="shared" si="0"/>
        <v>2046620</v>
      </c>
    </row>
    <row r="29" spans="1:29" s="12" customFormat="1" ht="12">
      <c r="A29" s="12" t="s">
        <v>189</v>
      </c>
      <c r="C29" s="12" t="s">
        <v>190</v>
      </c>
      <c r="E29" s="12">
        <v>0</v>
      </c>
      <c r="G29" s="12">
        <v>0</v>
      </c>
      <c r="I29" s="12">
        <v>1747443</v>
      </c>
      <c r="K29" s="12">
        <v>35679</v>
      </c>
      <c r="M29" s="12">
        <v>0</v>
      </c>
      <c r="O29" s="12">
        <v>13092</v>
      </c>
      <c r="Q29" s="12">
        <v>199031</v>
      </c>
      <c r="S29" s="12">
        <v>10919</v>
      </c>
      <c r="U29" s="12">
        <v>0</v>
      </c>
      <c r="W29" s="12">
        <v>0</v>
      </c>
      <c r="Y29" s="12">
        <v>0</v>
      </c>
      <c r="AA29" s="12">
        <v>0</v>
      </c>
      <c r="AC29" s="12">
        <f t="shared" si="0"/>
        <v>2006164</v>
      </c>
    </row>
    <row r="30" spans="1:29" s="12" customFormat="1" ht="12">
      <c r="A30" s="12" t="s">
        <v>191</v>
      </c>
      <c r="C30" s="12" t="s">
        <v>162</v>
      </c>
      <c r="E30" s="12">
        <v>115646</v>
      </c>
      <c r="G30" s="12">
        <v>498683</v>
      </c>
      <c r="I30" s="12">
        <v>0</v>
      </c>
      <c r="K30" s="12">
        <v>10637</v>
      </c>
      <c r="M30" s="12">
        <v>0</v>
      </c>
      <c r="O30" s="12">
        <v>2934</v>
      </c>
      <c r="Q30" s="12">
        <f>1745+866</f>
        <v>2611</v>
      </c>
      <c r="S30" s="12">
        <v>866</v>
      </c>
      <c r="U30" s="12">
        <v>0</v>
      </c>
      <c r="W30" s="12">
        <v>0</v>
      </c>
      <c r="Y30" s="12">
        <v>0</v>
      </c>
      <c r="AA30" s="12">
        <v>0</v>
      </c>
      <c r="AC30" s="12">
        <f t="shared" si="0"/>
        <v>631377</v>
      </c>
    </row>
    <row r="31" spans="1:29" s="12" customFormat="1" ht="12">
      <c r="A31" s="12" t="s">
        <v>192</v>
      </c>
      <c r="C31" s="12" t="s">
        <v>138</v>
      </c>
      <c r="E31" s="12">
        <v>0</v>
      </c>
      <c r="G31" s="12">
        <v>0</v>
      </c>
      <c r="I31" s="12">
        <v>157710.32</v>
      </c>
      <c r="K31" s="12">
        <v>2741.82</v>
      </c>
      <c r="M31" s="12">
        <v>0</v>
      </c>
      <c r="O31" s="12">
        <v>1612</v>
      </c>
      <c r="Q31" s="12">
        <v>1325.31</v>
      </c>
      <c r="S31" s="12">
        <v>222.05</v>
      </c>
      <c r="U31" s="12">
        <v>0</v>
      </c>
      <c r="W31" s="12">
        <v>4767.93</v>
      </c>
      <c r="Y31" s="12">
        <v>0</v>
      </c>
      <c r="AA31" s="12">
        <v>0</v>
      </c>
      <c r="AC31" s="12">
        <f t="shared" si="0"/>
        <v>168379.43</v>
      </c>
    </row>
    <row r="32" spans="1:29" s="12" customFormat="1" ht="12">
      <c r="A32" s="12" t="s">
        <v>193</v>
      </c>
      <c r="C32" s="12" t="s">
        <v>194</v>
      </c>
      <c r="E32" s="12">
        <v>0</v>
      </c>
      <c r="G32" s="12">
        <v>282448.78</v>
      </c>
      <c r="I32" s="12">
        <v>7761.24</v>
      </c>
      <c r="K32" s="12">
        <v>7045.11</v>
      </c>
      <c r="M32" s="12">
        <v>0</v>
      </c>
      <c r="O32" s="12">
        <v>865</v>
      </c>
      <c r="Q32" s="12">
        <v>20272.4</v>
      </c>
      <c r="S32" s="12">
        <v>8313.12</v>
      </c>
      <c r="U32" s="12">
        <v>140</v>
      </c>
      <c r="W32" s="12">
        <v>0</v>
      </c>
      <c r="Y32" s="12">
        <v>0</v>
      </c>
      <c r="AA32" s="12">
        <v>0</v>
      </c>
      <c r="AC32" s="12">
        <f t="shared" si="0"/>
        <v>326845.65</v>
      </c>
    </row>
    <row r="33" spans="1:29" s="12" customFormat="1" ht="12">
      <c r="A33" s="12" t="s">
        <v>195</v>
      </c>
      <c r="C33" s="12" t="s">
        <v>139</v>
      </c>
      <c r="E33" s="12">
        <v>0</v>
      </c>
      <c r="G33" s="12">
        <v>229043.64</v>
      </c>
      <c r="I33" s="12">
        <v>0</v>
      </c>
      <c r="K33" s="12">
        <v>4048.63</v>
      </c>
      <c r="M33" s="12">
        <v>0</v>
      </c>
      <c r="O33" s="12">
        <v>1060</v>
      </c>
      <c r="Q33" s="12">
        <v>13559.75</v>
      </c>
      <c r="S33" s="12">
        <v>454.79</v>
      </c>
      <c r="U33" s="12">
        <v>0</v>
      </c>
      <c r="W33" s="12">
        <v>27000</v>
      </c>
      <c r="Y33" s="12">
        <v>0</v>
      </c>
      <c r="AA33" s="12">
        <v>0</v>
      </c>
      <c r="AC33" s="12">
        <f t="shared" si="0"/>
        <v>275166.81000000006</v>
      </c>
    </row>
    <row r="34" spans="1:29" s="12" customFormat="1" ht="12">
      <c r="A34" s="12" t="s">
        <v>196</v>
      </c>
      <c r="C34" s="12" t="s">
        <v>146</v>
      </c>
      <c r="E34" s="12">
        <v>0</v>
      </c>
      <c r="G34" s="12">
        <v>204602.86</v>
      </c>
      <c r="I34" s="12">
        <v>0</v>
      </c>
      <c r="K34" s="12">
        <v>8634.73</v>
      </c>
      <c r="M34" s="12">
        <v>0</v>
      </c>
      <c r="O34" s="12">
        <v>2325</v>
      </c>
      <c r="Q34" s="12">
        <v>6471.51</v>
      </c>
      <c r="S34" s="12">
        <v>926.57</v>
      </c>
      <c r="U34" s="12">
        <v>453.6</v>
      </c>
      <c r="W34" s="12">
        <v>10000</v>
      </c>
      <c r="Y34" s="12">
        <v>0</v>
      </c>
      <c r="AA34" s="12">
        <v>0</v>
      </c>
      <c r="AC34" s="12">
        <f t="shared" si="0"/>
        <v>233414.27000000002</v>
      </c>
    </row>
    <row r="35" spans="1:29" s="12" customFormat="1" ht="12">
      <c r="A35" s="12" t="s">
        <v>197</v>
      </c>
      <c r="C35" s="12" t="s">
        <v>198</v>
      </c>
      <c r="E35" s="12">
        <v>2337814</v>
      </c>
      <c r="G35" s="12">
        <v>0</v>
      </c>
      <c r="I35" s="12">
        <v>0</v>
      </c>
      <c r="K35" s="12">
        <v>55425</v>
      </c>
      <c r="M35" s="12">
        <v>0</v>
      </c>
      <c r="O35" s="12">
        <v>4303</v>
      </c>
      <c r="Q35" s="12">
        <v>63072</v>
      </c>
      <c r="S35" s="12">
        <v>7115</v>
      </c>
      <c r="U35" s="12">
        <v>0</v>
      </c>
      <c r="W35" s="12">
        <v>0</v>
      </c>
      <c r="Y35" s="12">
        <v>0</v>
      </c>
      <c r="AA35" s="12">
        <v>0</v>
      </c>
      <c r="AC35" s="12">
        <f t="shared" si="0"/>
        <v>2467729</v>
      </c>
    </row>
    <row r="36" spans="1:29" s="12" customFormat="1" ht="12">
      <c r="A36" s="12" t="s">
        <v>199</v>
      </c>
      <c r="C36" s="12" t="s">
        <v>149</v>
      </c>
      <c r="E36" s="12">
        <v>0</v>
      </c>
      <c r="G36" s="12">
        <v>494449</v>
      </c>
      <c r="I36" s="12">
        <v>0</v>
      </c>
      <c r="K36" s="12">
        <v>12456</v>
      </c>
      <c r="M36" s="12">
        <v>3750</v>
      </c>
      <c r="O36" s="12">
        <v>2808</v>
      </c>
      <c r="Q36" s="12">
        <v>8734</v>
      </c>
      <c r="S36" s="12">
        <v>393</v>
      </c>
      <c r="U36" s="12">
        <v>0</v>
      </c>
      <c r="W36" s="12">
        <v>0</v>
      </c>
      <c r="Y36" s="12">
        <v>0</v>
      </c>
      <c r="AA36" s="12">
        <v>0</v>
      </c>
      <c r="AC36" s="12">
        <f t="shared" si="0"/>
        <v>522590</v>
      </c>
    </row>
    <row r="37" spans="1:29" s="12" customFormat="1" ht="12">
      <c r="A37" s="12" t="s">
        <v>125</v>
      </c>
      <c r="C37" s="12" t="s">
        <v>140</v>
      </c>
      <c r="E37" s="12">
        <v>0</v>
      </c>
      <c r="G37" s="12">
        <v>122462</v>
      </c>
      <c r="I37" s="12">
        <v>0</v>
      </c>
      <c r="K37" s="12">
        <v>92907</v>
      </c>
      <c r="M37" s="12">
        <v>0</v>
      </c>
      <c r="O37" s="12">
        <v>0</v>
      </c>
      <c r="Q37" s="12">
        <v>0</v>
      </c>
      <c r="S37" s="12">
        <v>1124</v>
      </c>
      <c r="U37" s="12">
        <v>0</v>
      </c>
      <c r="W37" s="12">
        <v>0</v>
      </c>
      <c r="Y37" s="12">
        <v>0</v>
      </c>
      <c r="AA37" s="12">
        <v>0</v>
      </c>
      <c r="AC37" s="12">
        <f t="shared" si="0"/>
        <v>216493</v>
      </c>
    </row>
    <row r="38" spans="1:29" s="12" customFormat="1" ht="12">
      <c r="A38" s="12" t="s">
        <v>200</v>
      </c>
      <c r="C38" s="12" t="s">
        <v>201</v>
      </c>
      <c r="E38" s="12">
        <v>0</v>
      </c>
      <c r="G38" s="12">
        <v>867396.83</v>
      </c>
      <c r="I38" s="12">
        <v>9892</v>
      </c>
      <c r="K38" s="12">
        <v>35931.65</v>
      </c>
      <c r="M38" s="12">
        <v>0</v>
      </c>
      <c r="O38" s="12">
        <v>1929.77</v>
      </c>
      <c r="Q38" s="12">
        <v>7787.29</v>
      </c>
      <c r="S38" s="12">
        <v>4879.47</v>
      </c>
      <c r="U38" s="12">
        <v>637</v>
      </c>
      <c r="W38" s="12">
        <v>0</v>
      </c>
      <c r="Y38" s="12">
        <v>0</v>
      </c>
      <c r="AA38" s="12">
        <v>0</v>
      </c>
      <c r="AC38" s="12">
        <f t="shared" si="0"/>
        <v>928454.01</v>
      </c>
    </row>
    <row r="39" spans="1:29" s="12" customFormat="1" ht="12">
      <c r="A39" s="12" t="s">
        <v>202</v>
      </c>
      <c r="C39" s="12" t="s">
        <v>145</v>
      </c>
      <c r="E39" s="12">
        <v>639806</v>
      </c>
      <c r="G39" s="12">
        <v>0</v>
      </c>
      <c r="I39" s="12">
        <v>0</v>
      </c>
      <c r="K39" s="12">
        <v>9186</v>
      </c>
      <c r="M39" s="12">
        <v>0</v>
      </c>
      <c r="O39" s="12">
        <f>36236+6548</f>
        <v>42784</v>
      </c>
      <c r="Q39" s="12">
        <v>130359</v>
      </c>
      <c r="S39" s="12">
        <f>4410+1784+1811</f>
        <v>8005</v>
      </c>
      <c r="U39" s="12">
        <v>0</v>
      </c>
      <c r="W39" s="12">
        <v>0</v>
      </c>
      <c r="Y39" s="12">
        <v>0</v>
      </c>
      <c r="AA39" s="12">
        <v>0</v>
      </c>
      <c r="AC39" s="12">
        <f t="shared" si="0"/>
        <v>830140</v>
      </c>
    </row>
    <row r="40" spans="1:29" s="12" customFormat="1" ht="12">
      <c r="A40" s="12" t="s">
        <v>203</v>
      </c>
      <c r="C40" s="12" t="s">
        <v>108</v>
      </c>
      <c r="E40" s="12">
        <v>0</v>
      </c>
      <c r="G40" s="12">
        <v>548890</v>
      </c>
      <c r="I40" s="12">
        <v>28170.9</v>
      </c>
      <c r="K40" s="12">
        <v>24518.29</v>
      </c>
      <c r="M40" s="12">
        <v>0</v>
      </c>
      <c r="O40" s="12">
        <v>66951.5</v>
      </c>
      <c r="Q40" s="12">
        <v>5460.51</v>
      </c>
      <c r="S40" s="12">
        <v>6272.47</v>
      </c>
      <c r="U40" s="12">
        <v>90</v>
      </c>
      <c r="W40" s="12">
        <v>0</v>
      </c>
      <c r="Y40" s="12">
        <v>0</v>
      </c>
      <c r="AA40" s="12">
        <v>0</v>
      </c>
      <c r="AC40" s="12">
        <f t="shared" si="0"/>
        <v>680353.67</v>
      </c>
    </row>
    <row r="41" spans="1:29" s="12" customFormat="1" ht="12">
      <c r="A41" s="12" t="s">
        <v>204</v>
      </c>
      <c r="C41" s="12" t="s">
        <v>205</v>
      </c>
      <c r="E41" s="12">
        <v>0</v>
      </c>
      <c r="G41" s="12">
        <v>459882.36</v>
      </c>
      <c r="I41" s="12">
        <v>0</v>
      </c>
      <c r="K41" s="12">
        <v>12574.61</v>
      </c>
      <c r="M41" s="12">
        <v>0</v>
      </c>
      <c r="O41" s="12">
        <v>2692.32</v>
      </c>
      <c r="Q41" s="12">
        <v>14073.91</v>
      </c>
      <c r="S41" s="12">
        <v>3342.22</v>
      </c>
      <c r="U41" s="12">
        <v>0</v>
      </c>
      <c r="W41" s="12">
        <v>0</v>
      </c>
      <c r="Y41" s="12">
        <v>0</v>
      </c>
      <c r="AA41" s="12">
        <v>0</v>
      </c>
      <c r="AC41" s="12">
        <f t="shared" si="0"/>
        <v>492565.4199999999</v>
      </c>
    </row>
    <row r="42" spans="1:29" s="12" customFormat="1" ht="12">
      <c r="A42" s="12" t="s">
        <v>206</v>
      </c>
      <c r="C42" s="12" t="s">
        <v>116</v>
      </c>
      <c r="E42" s="12">
        <v>0</v>
      </c>
      <c r="G42" s="12">
        <v>617950.95</v>
      </c>
      <c r="I42" s="12">
        <v>4610</v>
      </c>
      <c r="K42" s="12">
        <v>19864.6</v>
      </c>
      <c r="M42" s="12">
        <v>0</v>
      </c>
      <c r="O42" s="12">
        <v>805</v>
      </c>
      <c r="Q42" s="12">
        <v>7716.56</v>
      </c>
      <c r="S42" s="12">
        <v>1197.64</v>
      </c>
      <c r="U42" s="12">
        <v>0</v>
      </c>
      <c r="W42" s="12">
        <v>0</v>
      </c>
      <c r="Y42" s="12">
        <v>0</v>
      </c>
      <c r="AA42" s="12">
        <v>20</v>
      </c>
      <c r="AC42" s="12">
        <f t="shared" si="0"/>
        <v>652164.75</v>
      </c>
    </row>
    <row r="43" spans="1:29" s="12" customFormat="1" ht="12">
      <c r="A43" s="12" t="s">
        <v>207</v>
      </c>
      <c r="C43" s="12" t="s">
        <v>161</v>
      </c>
      <c r="E43" s="12">
        <v>0</v>
      </c>
      <c r="G43" s="12">
        <v>260969</v>
      </c>
      <c r="I43" s="12">
        <v>0</v>
      </c>
      <c r="K43" s="12">
        <v>8033</v>
      </c>
      <c r="M43" s="12">
        <v>0</v>
      </c>
      <c r="O43" s="12">
        <v>375</v>
      </c>
      <c r="Q43" s="12">
        <v>4609</v>
      </c>
      <c r="S43" s="12">
        <v>3518</v>
      </c>
      <c r="U43" s="12">
        <v>537</v>
      </c>
      <c r="W43" s="12">
        <v>0</v>
      </c>
      <c r="Y43" s="12">
        <v>0</v>
      </c>
      <c r="AA43" s="12">
        <v>0</v>
      </c>
      <c r="AC43" s="12">
        <f t="shared" si="0"/>
        <v>278041</v>
      </c>
    </row>
    <row r="44" spans="1:29" s="12" customFormat="1" ht="12">
      <c r="A44" s="12" t="s">
        <v>208</v>
      </c>
      <c r="C44" s="12" t="s">
        <v>144</v>
      </c>
      <c r="E44" s="12">
        <v>0</v>
      </c>
      <c r="G44" s="12">
        <v>785234</v>
      </c>
      <c r="I44" s="12">
        <v>0</v>
      </c>
      <c r="K44" s="12">
        <v>7684</v>
      </c>
      <c r="M44" s="12">
        <v>0</v>
      </c>
      <c r="O44" s="12">
        <v>1893</v>
      </c>
      <c r="Q44" s="12">
        <v>13405</v>
      </c>
      <c r="S44" s="12">
        <v>13743</v>
      </c>
      <c r="U44" s="12">
        <v>0</v>
      </c>
      <c r="W44" s="12">
        <v>0</v>
      </c>
      <c r="Y44" s="12">
        <v>0</v>
      </c>
      <c r="AA44" s="12">
        <v>0</v>
      </c>
      <c r="AC44" s="12">
        <f t="shared" si="0"/>
        <v>821959</v>
      </c>
    </row>
    <row r="45" spans="1:29" s="12" customFormat="1" ht="12">
      <c r="A45" s="12" t="s">
        <v>208</v>
      </c>
      <c r="C45" s="12" t="s">
        <v>209</v>
      </c>
      <c r="E45" s="12">
        <v>0</v>
      </c>
      <c r="G45" s="12">
        <v>1049951</v>
      </c>
      <c r="I45" s="12">
        <v>0</v>
      </c>
      <c r="K45" s="12">
        <v>22268</v>
      </c>
      <c r="M45" s="12">
        <v>0</v>
      </c>
      <c r="O45" s="12">
        <v>11116</v>
      </c>
      <c r="Q45" s="12">
        <v>62621</v>
      </c>
      <c r="S45" s="12">
        <v>2486</v>
      </c>
      <c r="U45" s="12">
        <v>0</v>
      </c>
      <c r="W45" s="12">
        <v>109950</v>
      </c>
      <c r="Y45" s="12">
        <v>0</v>
      </c>
      <c r="AA45" s="12">
        <v>0</v>
      </c>
      <c r="AC45" s="12">
        <f t="shared" si="0"/>
        <v>1258392</v>
      </c>
    </row>
    <row r="46" spans="1:29" s="12" customFormat="1" ht="12">
      <c r="A46" s="12" t="s">
        <v>210</v>
      </c>
      <c r="C46" s="12" t="s">
        <v>141</v>
      </c>
      <c r="E46" s="12">
        <v>0</v>
      </c>
      <c r="G46" s="12">
        <v>725663.04</v>
      </c>
      <c r="I46" s="12">
        <v>12054.67</v>
      </c>
      <c r="K46" s="12">
        <v>27371.34</v>
      </c>
      <c r="M46" s="12">
        <v>0</v>
      </c>
      <c r="O46" s="12">
        <v>11964</v>
      </c>
      <c r="Q46" s="12">
        <v>37778.87</v>
      </c>
      <c r="S46" s="12">
        <v>3043.47</v>
      </c>
      <c r="U46" s="12">
        <v>0</v>
      </c>
      <c r="W46" s="12">
        <v>0</v>
      </c>
      <c r="Y46" s="12">
        <v>12311.76</v>
      </c>
      <c r="AA46" s="12">
        <v>0</v>
      </c>
      <c r="AC46" s="12">
        <f t="shared" si="0"/>
        <v>830187.15</v>
      </c>
    </row>
    <row r="47" spans="1:29" s="12" customFormat="1" ht="12">
      <c r="A47" s="12" t="s">
        <v>211</v>
      </c>
      <c r="C47" s="12" t="s">
        <v>107</v>
      </c>
      <c r="E47" s="12">
        <v>0</v>
      </c>
      <c r="G47" s="12">
        <v>283691</v>
      </c>
      <c r="I47" s="12">
        <v>0</v>
      </c>
      <c r="K47" s="12">
        <v>6307</v>
      </c>
      <c r="M47" s="12">
        <v>0</v>
      </c>
      <c r="O47" s="12">
        <v>365</v>
      </c>
      <c r="Q47" s="12">
        <v>40233</v>
      </c>
      <c r="S47" s="12">
        <v>894</v>
      </c>
      <c r="U47" s="12">
        <v>0</v>
      </c>
      <c r="W47" s="12">
        <v>0</v>
      </c>
      <c r="Y47" s="12">
        <v>0</v>
      </c>
      <c r="AA47" s="12">
        <v>0</v>
      </c>
      <c r="AC47" s="12">
        <f t="shared" si="0"/>
        <v>331490</v>
      </c>
    </row>
    <row r="48" spans="1:29" s="12" customFormat="1" ht="12">
      <c r="A48" s="12" t="s">
        <v>212</v>
      </c>
      <c r="C48" s="12" t="s">
        <v>155</v>
      </c>
      <c r="E48" s="12">
        <v>125086</v>
      </c>
      <c r="G48" s="12">
        <v>731724</v>
      </c>
      <c r="I48" s="12">
        <v>0</v>
      </c>
      <c r="K48" s="12">
        <v>38604</v>
      </c>
      <c r="M48" s="12">
        <v>0</v>
      </c>
      <c r="O48" s="12">
        <v>12751</v>
      </c>
      <c r="Q48" s="12">
        <v>21716</v>
      </c>
      <c r="S48" s="12">
        <v>3186</v>
      </c>
      <c r="U48" s="12">
        <v>0</v>
      </c>
      <c r="W48" s="12">
        <v>0</v>
      </c>
      <c r="Y48" s="12">
        <v>0</v>
      </c>
      <c r="AA48" s="12">
        <v>0</v>
      </c>
      <c r="AC48" s="12">
        <f t="shared" si="0"/>
        <v>933067</v>
      </c>
    </row>
    <row r="49" spans="1:29" s="12" customFormat="1" ht="12">
      <c r="A49" s="12" t="s">
        <v>213</v>
      </c>
      <c r="C49" s="12" t="s">
        <v>142</v>
      </c>
      <c r="E49" s="12">
        <v>0</v>
      </c>
      <c r="G49" s="12">
        <v>2678639.67</v>
      </c>
      <c r="I49" s="12">
        <v>6056</v>
      </c>
      <c r="K49" s="12">
        <v>67701.57</v>
      </c>
      <c r="M49" s="12">
        <v>0</v>
      </c>
      <c r="O49" s="12">
        <v>84503.16</v>
      </c>
      <c r="Q49" s="12">
        <v>45025.72</v>
      </c>
      <c r="S49" s="12">
        <v>11620.04</v>
      </c>
      <c r="U49" s="12">
        <v>0</v>
      </c>
      <c r="W49" s="12">
        <v>0</v>
      </c>
      <c r="Y49" s="12">
        <v>0</v>
      </c>
      <c r="AA49" s="12">
        <v>0</v>
      </c>
      <c r="AC49" s="12">
        <f t="shared" si="0"/>
        <v>2893546.16</v>
      </c>
    </row>
    <row r="50" spans="1:29" s="12" customFormat="1" ht="12">
      <c r="A50" s="12" t="s">
        <v>214</v>
      </c>
      <c r="C50" s="12" t="s">
        <v>215</v>
      </c>
      <c r="E50" s="12">
        <v>242777</v>
      </c>
      <c r="G50" s="12">
        <v>4914430</v>
      </c>
      <c r="I50" s="12">
        <v>24323</v>
      </c>
      <c r="K50" s="12">
        <v>97923</v>
      </c>
      <c r="M50" s="12">
        <v>2025</v>
      </c>
      <c r="O50" s="12">
        <v>15798</v>
      </c>
      <c r="Q50" s="12">
        <f>436724+289</f>
        <v>437013</v>
      </c>
      <c r="S50" s="12">
        <v>51233</v>
      </c>
      <c r="U50" s="12">
        <v>0</v>
      </c>
      <c r="W50" s="12">
        <v>35000</v>
      </c>
      <c r="Y50" s="12">
        <v>0</v>
      </c>
      <c r="AA50" s="12">
        <v>0</v>
      </c>
      <c r="AC50" s="12">
        <f t="shared" si="0"/>
        <v>5820522</v>
      </c>
    </row>
    <row r="51" spans="1:29" s="12" customFormat="1" ht="12.75" customHeight="1">
      <c r="A51" s="12" t="s">
        <v>216</v>
      </c>
      <c r="C51" s="12" t="s">
        <v>117</v>
      </c>
      <c r="E51" s="12">
        <v>0</v>
      </c>
      <c r="G51" s="12">
        <v>453301.29</v>
      </c>
      <c r="I51" s="12">
        <v>0</v>
      </c>
      <c r="K51" s="12">
        <v>7143.65</v>
      </c>
      <c r="M51" s="12">
        <v>0</v>
      </c>
      <c r="O51" s="12">
        <v>3400.07</v>
      </c>
      <c r="Q51" s="12">
        <v>39398.26</v>
      </c>
      <c r="S51" s="12">
        <v>0</v>
      </c>
      <c r="U51" s="12">
        <v>0</v>
      </c>
      <c r="W51" s="12">
        <v>0</v>
      </c>
      <c r="Y51" s="12">
        <v>10000</v>
      </c>
      <c r="AA51" s="12">
        <v>0</v>
      </c>
      <c r="AC51" s="12">
        <f t="shared" si="0"/>
        <v>513243.27</v>
      </c>
    </row>
    <row r="52" spans="1:29" s="12" customFormat="1" ht="12">
      <c r="A52" s="12" t="s">
        <v>217</v>
      </c>
      <c r="C52" s="12" t="s">
        <v>218</v>
      </c>
      <c r="E52" s="12">
        <v>1373344</v>
      </c>
      <c r="G52" s="12">
        <v>0</v>
      </c>
      <c r="I52" s="12">
        <v>6016670</v>
      </c>
      <c r="K52" s="12">
        <v>379885</v>
      </c>
      <c r="M52" s="12">
        <v>0</v>
      </c>
      <c r="O52" s="12">
        <v>17458</v>
      </c>
      <c r="Q52" s="12">
        <v>257753</v>
      </c>
      <c r="S52" s="12">
        <v>46500</v>
      </c>
      <c r="U52" s="12">
        <v>0</v>
      </c>
      <c r="W52" s="12">
        <v>594114</v>
      </c>
      <c r="Y52" s="12">
        <v>6155</v>
      </c>
      <c r="AA52" s="12">
        <f>120365+206850</f>
        <v>327215</v>
      </c>
      <c r="AC52" s="12">
        <f t="shared" si="0"/>
        <v>9019094</v>
      </c>
    </row>
    <row r="53" spans="1:29" s="12" customFormat="1" ht="12">
      <c r="A53" s="11" t="s">
        <v>596</v>
      </c>
      <c r="B53" s="11"/>
      <c r="C53" s="11" t="s">
        <v>190</v>
      </c>
      <c r="E53" s="12">
        <v>4137884</v>
      </c>
      <c r="G53" s="12">
        <v>0</v>
      </c>
      <c r="I53" s="12">
        <v>3671580</v>
      </c>
      <c r="K53" s="12">
        <f>89844+17612</f>
        <v>107456</v>
      </c>
      <c r="M53" s="12">
        <v>0</v>
      </c>
      <c r="O53" s="12">
        <v>37842</v>
      </c>
      <c r="Q53" s="12">
        <v>357563</v>
      </c>
      <c r="S53" s="12">
        <f>13674+20012</f>
        <v>33686</v>
      </c>
      <c r="U53" s="12">
        <v>0</v>
      </c>
      <c r="W53" s="12">
        <v>712489</v>
      </c>
      <c r="Y53" s="12">
        <v>0</v>
      </c>
      <c r="AA53" s="12">
        <f>44567+300000</f>
        <v>344567</v>
      </c>
      <c r="AC53" s="12">
        <f t="shared" si="0"/>
        <v>9403067</v>
      </c>
    </row>
    <row r="54" spans="1:29" s="12" customFormat="1" ht="12">
      <c r="A54" s="11" t="s">
        <v>597</v>
      </c>
      <c r="B54" s="11"/>
      <c r="C54" s="11" t="s">
        <v>110</v>
      </c>
      <c r="E54" s="12">
        <v>32224171</v>
      </c>
      <c r="G54" s="12">
        <v>0</v>
      </c>
      <c r="I54" s="12">
        <v>31662624</v>
      </c>
      <c r="K54" s="12">
        <v>387874</v>
      </c>
      <c r="M54" s="12">
        <v>3018155</v>
      </c>
      <c r="O54" s="12">
        <v>895109</v>
      </c>
      <c r="Q54" s="12">
        <v>3278717</v>
      </c>
      <c r="S54" s="12">
        <v>234573</v>
      </c>
      <c r="U54" s="12">
        <v>426</v>
      </c>
      <c r="W54" s="12">
        <v>3000000</v>
      </c>
      <c r="Y54" s="12">
        <v>0</v>
      </c>
      <c r="AA54" s="12">
        <v>0</v>
      </c>
      <c r="AC54" s="12">
        <f>SUM(E54:AA54)</f>
        <v>74701649</v>
      </c>
    </row>
    <row r="55" spans="1:29" s="12" customFormat="1" ht="12">
      <c r="A55" s="12" t="s">
        <v>219</v>
      </c>
      <c r="C55" s="12" t="s">
        <v>190</v>
      </c>
      <c r="E55" s="12">
        <v>213085</v>
      </c>
      <c r="G55" s="12">
        <v>352357</v>
      </c>
      <c r="I55" s="12">
        <v>12734</v>
      </c>
      <c r="K55" s="12">
        <v>16974</v>
      </c>
      <c r="M55" s="12">
        <v>0</v>
      </c>
      <c r="O55" s="12">
        <v>16027</v>
      </c>
      <c r="Q55" s="12">
        <v>15780</v>
      </c>
      <c r="S55" s="12">
        <v>532</v>
      </c>
      <c r="U55" s="12">
        <v>0</v>
      </c>
      <c r="W55" s="12">
        <v>79101</v>
      </c>
      <c r="Y55" s="12">
        <v>0</v>
      </c>
      <c r="AA55" s="12">
        <v>0</v>
      </c>
      <c r="AC55" s="12">
        <f t="shared" si="0"/>
        <v>706590</v>
      </c>
    </row>
    <row r="56" spans="1:29" s="12" customFormat="1" ht="12">
      <c r="A56" s="12" t="s">
        <v>126</v>
      </c>
      <c r="C56" s="12" t="s">
        <v>143</v>
      </c>
      <c r="E56" s="12">
        <v>0</v>
      </c>
      <c r="G56" s="12">
        <v>256790.26</v>
      </c>
      <c r="I56" s="12">
        <v>0</v>
      </c>
      <c r="K56" s="12">
        <v>8658.33</v>
      </c>
      <c r="M56" s="12">
        <v>0</v>
      </c>
      <c r="O56" s="12">
        <v>0</v>
      </c>
      <c r="Q56" s="12">
        <v>3573.59</v>
      </c>
      <c r="S56" s="12">
        <v>14.05</v>
      </c>
      <c r="U56" s="12">
        <v>930.85</v>
      </c>
      <c r="W56" s="12">
        <v>0</v>
      </c>
      <c r="Y56" s="12">
        <v>0</v>
      </c>
      <c r="AA56" s="12">
        <v>0</v>
      </c>
      <c r="AC56" s="12">
        <f t="shared" si="0"/>
        <v>269967.08</v>
      </c>
    </row>
    <row r="57" spans="1:29" s="12" customFormat="1" ht="12">
      <c r="A57" s="12" t="s">
        <v>220</v>
      </c>
      <c r="C57" s="12" t="s">
        <v>144</v>
      </c>
      <c r="E57" s="12">
        <v>0</v>
      </c>
      <c r="G57" s="12">
        <v>741576.4</v>
      </c>
      <c r="I57" s="12">
        <v>0</v>
      </c>
      <c r="K57" s="12">
        <v>33059.53</v>
      </c>
      <c r="M57" s="12">
        <v>0</v>
      </c>
      <c r="O57" s="12">
        <v>3265</v>
      </c>
      <c r="Q57" s="12">
        <v>49147.89</v>
      </c>
      <c r="S57" s="12">
        <v>3117.06</v>
      </c>
      <c r="U57" s="12">
        <v>0</v>
      </c>
      <c r="W57" s="12">
        <v>400000</v>
      </c>
      <c r="Y57" s="12">
        <v>0</v>
      </c>
      <c r="AA57" s="12">
        <v>0</v>
      </c>
      <c r="AC57" s="12">
        <f t="shared" si="0"/>
        <v>1230165.8800000001</v>
      </c>
    </row>
    <row r="58" spans="1:29" s="12" customFormat="1" ht="12">
      <c r="A58" s="12" t="s">
        <v>221</v>
      </c>
      <c r="C58" s="12" t="s">
        <v>188</v>
      </c>
      <c r="E58" s="12">
        <v>20950497</v>
      </c>
      <c r="G58" s="12">
        <v>24808052</v>
      </c>
      <c r="I58" s="12">
        <v>0</v>
      </c>
      <c r="K58" s="12">
        <v>2001286</v>
      </c>
      <c r="M58" s="12">
        <v>687171</v>
      </c>
      <c r="O58" s="12">
        <v>205899</v>
      </c>
      <c r="Q58" s="12">
        <v>1260313</v>
      </c>
      <c r="S58" s="12">
        <v>928784</v>
      </c>
      <c r="U58" s="12">
        <v>0</v>
      </c>
      <c r="W58" s="12">
        <v>2845240</v>
      </c>
      <c r="Y58" s="12">
        <v>0</v>
      </c>
      <c r="AA58" s="12">
        <v>0</v>
      </c>
      <c r="AC58" s="12">
        <f t="shared" si="0"/>
        <v>53687242</v>
      </c>
    </row>
    <row r="59" spans="1:60" s="38" customFormat="1" ht="12">
      <c r="A59" s="11" t="s">
        <v>529</v>
      </c>
      <c r="B59" s="11"/>
      <c r="C59" s="12" t="s">
        <v>163</v>
      </c>
      <c r="D59" s="12"/>
      <c r="E59" s="12">
        <v>634621.12</v>
      </c>
      <c r="F59" s="12"/>
      <c r="G59" s="12">
        <v>0</v>
      </c>
      <c r="H59" s="12"/>
      <c r="I59" s="12">
        <v>22212.89</v>
      </c>
      <c r="J59" s="12"/>
      <c r="K59" s="12">
        <v>0</v>
      </c>
      <c r="L59" s="12"/>
      <c r="M59" s="12">
        <v>4510.61</v>
      </c>
      <c r="N59" s="12"/>
      <c r="O59" s="12">
        <v>23356.35</v>
      </c>
      <c r="P59" s="12"/>
      <c r="Q59" s="12">
        <v>0</v>
      </c>
      <c r="R59" s="12"/>
      <c r="S59" s="12">
        <v>0</v>
      </c>
      <c r="T59" s="12"/>
      <c r="U59" s="12">
        <v>0</v>
      </c>
      <c r="V59" s="12"/>
      <c r="W59" s="12">
        <v>0</v>
      </c>
      <c r="X59" s="12"/>
      <c r="Y59" s="12">
        <v>0</v>
      </c>
      <c r="Z59" s="12"/>
      <c r="AA59" s="12">
        <v>0</v>
      </c>
      <c r="AB59" s="36"/>
      <c r="AC59" s="12">
        <f t="shared" si="0"/>
        <v>684700.97</v>
      </c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</row>
    <row r="60" spans="1:29" s="12" customFormat="1" ht="12">
      <c r="A60" s="12" t="s">
        <v>222</v>
      </c>
      <c r="C60" s="12" t="s">
        <v>136</v>
      </c>
      <c r="E60" s="12">
        <v>555511</v>
      </c>
      <c r="G60" s="12">
        <v>0</v>
      </c>
      <c r="I60" s="12">
        <v>0</v>
      </c>
      <c r="K60" s="12">
        <v>6762</v>
      </c>
      <c r="M60" s="12">
        <v>420</v>
      </c>
      <c r="O60" s="12">
        <v>3028</v>
      </c>
      <c r="Q60" s="12">
        <v>24225</v>
      </c>
      <c r="S60" s="12">
        <v>14037</v>
      </c>
      <c r="U60" s="12">
        <v>0</v>
      </c>
      <c r="W60" s="12">
        <v>0</v>
      </c>
      <c r="Y60" s="12">
        <v>0</v>
      </c>
      <c r="AA60" s="12">
        <v>0</v>
      </c>
      <c r="AC60" s="12">
        <f t="shared" si="0"/>
        <v>603983</v>
      </c>
    </row>
    <row r="61" spans="1:29" s="12" customFormat="1" ht="12">
      <c r="A61" s="12" t="s">
        <v>223</v>
      </c>
      <c r="C61" s="12" t="s">
        <v>224</v>
      </c>
      <c r="E61" s="12">
        <v>0</v>
      </c>
      <c r="G61" s="12">
        <v>1382578</v>
      </c>
      <c r="I61" s="12">
        <v>11574</v>
      </c>
      <c r="K61" s="12">
        <v>42214</v>
      </c>
      <c r="M61" s="12">
        <v>0</v>
      </c>
      <c r="O61" s="12">
        <v>95899</v>
      </c>
      <c r="Q61" s="12">
        <v>98744</v>
      </c>
      <c r="S61" s="12">
        <f>9882+4692</f>
        <v>14574</v>
      </c>
      <c r="U61" s="12">
        <v>0</v>
      </c>
      <c r="W61" s="12">
        <v>2107</v>
      </c>
      <c r="Y61" s="12">
        <v>0</v>
      </c>
      <c r="AA61" s="12">
        <v>0</v>
      </c>
      <c r="AC61" s="12">
        <f t="shared" si="0"/>
        <v>1647690</v>
      </c>
    </row>
    <row r="62" spans="1:29" s="12" customFormat="1" ht="12">
      <c r="A62" s="12" t="s">
        <v>225</v>
      </c>
      <c r="C62" s="12" t="s">
        <v>145</v>
      </c>
      <c r="E62" s="12">
        <v>0</v>
      </c>
      <c r="G62" s="12">
        <v>530124</v>
      </c>
      <c r="I62" s="12">
        <v>0</v>
      </c>
      <c r="K62" s="12">
        <v>13215.21</v>
      </c>
      <c r="M62" s="12">
        <v>0</v>
      </c>
      <c r="O62" s="12">
        <v>908.95</v>
      </c>
      <c r="Q62" s="12">
        <v>108354.4</v>
      </c>
      <c r="S62" s="12">
        <v>1159.88</v>
      </c>
      <c r="U62" s="12">
        <v>0</v>
      </c>
      <c r="W62" s="12">
        <v>0</v>
      </c>
      <c r="Y62" s="12">
        <v>0</v>
      </c>
      <c r="AA62" s="12">
        <v>0</v>
      </c>
      <c r="AC62" s="12">
        <f t="shared" si="0"/>
        <v>653762.44</v>
      </c>
    </row>
    <row r="63" spans="1:29" s="12" customFormat="1" ht="12">
      <c r="A63" s="12" t="s">
        <v>226</v>
      </c>
      <c r="C63" s="12" t="s">
        <v>110</v>
      </c>
      <c r="E63" s="12">
        <v>37261848</v>
      </c>
      <c r="G63" s="12">
        <v>24944593</v>
      </c>
      <c r="I63" s="12">
        <v>1347425</v>
      </c>
      <c r="K63" s="12">
        <v>1008375</v>
      </c>
      <c r="M63" s="12">
        <v>3882</v>
      </c>
      <c r="O63" s="12">
        <v>100136</v>
      </c>
      <c r="Q63" s="12">
        <v>1014803</v>
      </c>
      <c r="S63" s="12">
        <v>1263715</v>
      </c>
      <c r="U63" s="12">
        <v>0</v>
      </c>
      <c r="W63" s="12">
        <v>4500000</v>
      </c>
      <c r="Y63" s="12">
        <v>30000</v>
      </c>
      <c r="AA63" s="12">
        <v>0</v>
      </c>
      <c r="AC63" s="12">
        <f t="shared" si="0"/>
        <v>71474777</v>
      </c>
    </row>
    <row r="64" spans="1:29" s="12" customFormat="1" ht="12">
      <c r="A64" s="12" t="s">
        <v>227</v>
      </c>
      <c r="C64" s="12" t="s">
        <v>148</v>
      </c>
      <c r="E64" s="12">
        <v>9215468</v>
      </c>
      <c r="G64" s="12">
        <v>0</v>
      </c>
      <c r="I64" s="12">
        <v>20194059</v>
      </c>
      <c r="K64" s="12">
        <v>710518</v>
      </c>
      <c r="M64" s="12">
        <v>92746</v>
      </c>
      <c r="O64" s="12">
        <v>68725</v>
      </c>
      <c r="Q64" s="12">
        <v>898699</v>
      </c>
      <c r="S64" s="12">
        <v>291865</v>
      </c>
      <c r="U64" s="12">
        <v>42200</v>
      </c>
      <c r="W64" s="12">
        <v>3503445</v>
      </c>
      <c r="Y64" s="12">
        <v>0</v>
      </c>
      <c r="AA64" s="12">
        <v>0</v>
      </c>
      <c r="AC64" s="12">
        <f t="shared" si="0"/>
        <v>35017725</v>
      </c>
    </row>
    <row r="65" spans="1:29" s="12" customFormat="1" ht="12">
      <c r="A65" s="12" t="s">
        <v>228</v>
      </c>
      <c r="C65" s="12" t="s">
        <v>229</v>
      </c>
      <c r="E65" s="12">
        <v>0</v>
      </c>
      <c r="G65" s="12">
        <v>1489460</v>
      </c>
      <c r="I65" s="12">
        <v>0</v>
      </c>
      <c r="K65" s="12">
        <v>24951</v>
      </c>
      <c r="M65" s="12">
        <v>0</v>
      </c>
      <c r="O65" s="12">
        <v>11444</v>
      </c>
      <c r="Q65" s="12">
        <v>63217</v>
      </c>
      <c r="S65" s="12">
        <v>21350</v>
      </c>
      <c r="U65" s="12">
        <v>0</v>
      </c>
      <c r="W65" s="12">
        <v>0</v>
      </c>
      <c r="Y65" s="12">
        <v>0</v>
      </c>
      <c r="AA65" s="12">
        <v>0</v>
      </c>
      <c r="AC65" s="12">
        <f t="shared" si="0"/>
        <v>1610422</v>
      </c>
    </row>
    <row r="66" spans="1:29" s="12" customFormat="1" ht="12">
      <c r="A66" s="12" t="s">
        <v>230</v>
      </c>
      <c r="C66" s="12" t="s">
        <v>163</v>
      </c>
      <c r="E66" s="12">
        <v>348652</v>
      </c>
      <c r="G66" s="12">
        <v>2061047</v>
      </c>
      <c r="I66" s="12">
        <v>0</v>
      </c>
      <c r="K66" s="12">
        <v>56877</v>
      </c>
      <c r="M66" s="12">
        <v>0</v>
      </c>
      <c r="O66" s="12">
        <v>94270</v>
      </c>
      <c r="Q66" s="12">
        <v>107646</v>
      </c>
      <c r="S66" s="12">
        <v>17602</v>
      </c>
      <c r="U66" s="12">
        <v>0</v>
      </c>
      <c r="W66" s="12">
        <v>0</v>
      </c>
      <c r="Y66" s="12">
        <v>0</v>
      </c>
      <c r="AA66" s="12">
        <v>0</v>
      </c>
      <c r="AC66" s="12">
        <f t="shared" si="0"/>
        <v>2686094</v>
      </c>
    </row>
    <row r="67" spans="1:29" s="12" customFormat="1" ht="12">
      <c r="A67" s="12" t="s">
        <v>231</v>
      </c>
      <c r="C67" s="12" t="s">
        <v>194</v>
      </c>
      <c r="E67" s="12">
        <v>0</v>
      </c>
      <c r="G67" s="12">
        <v>440235.39</v>
      </c>
      <c r="I67" s="12">
        <v>0</v>
      </c>
      <c r="K67" s="12">
        <v>7807.44</v>
      </c>
      <c r="M67" s="12">
        <v>0</v>
      </c>
      <c r="O67" s="12">
        <v>23699.89</v>
      </c>
      <c r="Q67" s="12">
        <v>16523.82</v>
      </c>
      <c r="S67" s="12">
        <v>4701.35</v>
      </c>
      <c r="U67" s="12">
        <v>0</v>
      </c>
      <c r="W67" s="12">
        <v>0</v>
      </c>
      <c r="Y67" s="12">
        <v>0</v>
      </c>
      <c r="AA67" s="12">
        <v>0</v>
      </c>
      <c r="AC67" s="12">
        <f t="shared" si="0"/>
        <v>492967.89</v>
      </c>
    </row>
    <row r="68" spans="1:29" s="12" customFormat="1" ht="12">
      <c r="A68" s="12" t="s">
        <v>232</v>
      </c>
      <c r="C68" s="12" t="s">
        <v>135</v>
      </c>
      <c r="E68" s="12">
        <v>0</v>
      </c>
      <c r="G68" s="12">
        <v>297168.5</v>
      </c>
      <c r="I68" s="12">
        <v>16220.95</v>
      </c>
      <c r="K68" s="12">
        <v>15008.67</v>
      </c>
      <c r="M68" s="12">
        <v>0</v>
      </c>
      <c r="O68" s="12">
        <v>40206.22</v>
      </c>
      <c r="Q68" s="12">
        <v>17783.32</v>
      </c>
      <c r="S68" s="12">
        <v>0</v>
      </c>
      <c r="U68" s="12">
        <v>1093.27</v>
      </c>
      <c r="W68" s="12">
        <v>0</v>
      </c>
      <c r="Y68" s="12">
        <v>0</v>
      </c>
      <c r="AA68" s="12">
        <v>0</v>
      </c>
      <c r="AC68" s="12">
        <f t="shared" si="0"/>
        <v>387480.93</v>
      </c>
    </row>
    <row r="69" spans="1:29" s="12" customFormat="1" ht="12">
      <c r="A69" s="12" t="s">
        <v>233</v>
      </c>
      <c r="C69" s="12" t="s">
        <v>156</v>
      </c>
      <c r="E69" s="12">
        <v>0</v>
      </c>
      <c r="G69" s="12">
        <v>337199</v>
      </c>
      <c r="I69" s="12">
        <v>0</v>
      </c>
      <c r="K69" s="12">
        <v>11504</v>
      </c>
      <c r="M69" s="12">
        <v>0</v>
      </c>
      <c r="O69" s="12">
        <v>10274</v>
      </c>
      <c r="Q69" s="12">
        <v>11168</v>
      </c>
      <c r="S69" s="12">
        <v>0</v>
      </c>
      <c r="U69" s="12">
        <v>0</v>
      </c>
      <c r="W69" s="12">
        <v>0</v>
      </c>
      <c r="Y69" s="12">
        <v>0</v>
      </c>
      <c r="AA69" s="12">
        <v>0</v>
      </c>
      <c r="AC69" s="12">
        <f t="shared" si="0"/>
        <v>370145</v>
      </c>
    </row>
    <row r="70" spans="1:29" s="12" customFormat="1" ht="12">
      <c r="A70" s="12" t="s">
        <v>234</v>
      </c>
      <c r="C70" s="12" t="s">
        <v>117</v>
      </c>
      <c r="E70" s="12">
        <v>0</v>
      </c>
      <c r="G70" s="12">
        <v>737451</v>
      </c>
      <c r="I70" s="12">
        <v>0</v>
      </c>
      <c r="K70" s="12">
        <v>25799</v>
      </c>
      <c r="M70" s="12">
        <v>0</v>
      </c>
      <c r="O70" s="12">
        <v>61585</v>
      </c>
      <c r="Q70" s="12">
        <v>50252</v>
      </c>
      <c r="S70" s="12">
        <v>3994</v>
      </c>
      <c r="U70" s="12">
        <v>0</v>
      </c>
      <c r="W70" s="12">
        <v>0</v>
      </c>
      <c r="Y70" s="12">
        <v>0</v>
      </c>
      <c r="AA70" s="12">
        <v>0</v>
      </c>
      <c r="AC70" s="12">
        <f t="shared" si="0"/>
        <v>879081</v>
      </c>
    </row>
    <row r="71" spans="1:29" s="12" customFormat="1" ht="12">
      <c r="A71" s="12" t="s">
        <v>235</v>
      </c>
      <c r="C71" s="12" t="s">
        <v>236</v>
      </c>
      <c r="E71" s="12">
        <v>0</v>
      </c>
      <c r="G71" s="12">
        <v>1186847.72</v>
      </c>
      <c r="I71" s="12">
        <v>65119.2</v>
      </c>
      <c r="K71" s="12">
        <v>44733.61</v>
      </c>
      <c r="M71" s="12">
        <v>0</v>
      </c>
      <c r="O71" s="12">
        <v>9942</v>
      </c>
      <c r="Q71" s="12">
        <v>83852.09</v>
      </c>
      <c r="S71" s="12">
        <v>5070.65</v>
      </c>
      <c r="U71" s="12">
        <v>0</v>
      </c>
      <c r="W71" s="12">
        <v>0</v>
      </c>
      <c r="Y71" s="12">
        <v>0</v>
      </c>
      <c r="AA71" s="12">
        <v>0</v>
      </c>
      <c r="AC71" s="12">
        <f t="shared" si="0"/>
        <v>1395565.27</v>
      </c>
    </row>
    <row r="72" spans="1:29" s="12" customFormat="1" ht="12">
      <c r="A72" s="12" t="s">
        <v>237</v>
      </c>
      <c r="C72" s="12" t="s">
        <v>183</v>
      </c>
      <c r="E72" s="12">
        <v>20176</v>
      </c>
      <c r="G72" s="12">
        <v>63772</v>
      </c>
      <c r="I72" s="12">
        <v>2553</v>
      </c>
      <c r="K72" s="12">
        <v>1023</v>
      </c>
      <c r="M72" s="12">
        <v>0</v>
      </c>
      <c r="O72" s="12">
        <v>755</v>
      </c>
      <c r="Q72" s="12">
        <v>17479</v>
      </c>
      <c r="S72" s="12">
        <v>0</v>
      </c>
      <c r="U72" s="12">
        <v>0</v>
      </c>
      <c r="W72" s="12">
        <v>0</v>
      </c>
      <c r="Y72" s="12">
        <v>0</v>
      </c>
      <c r="AA72" s="12">
        <v>0</v>
      </c>
      <c r="AC72" s="12">
        <f t="shared" si="0"/>
        <v>105758</v>
      </c>
    </row>
    <row r="73" s="12" customFormat="1" ht="12">
      <c r="AC73" s="27" t="s">
        <v>98</v>
      </c>
    </row>
    <row r="74" spans="1:29" s="12" customFormat="1" ht="12">
      <c r="A74" s="26" t="s">
        <v>238</v>
      </c>
      <c r="B74" s="26"/>
      <c r="C74" s="26" t="s">
        <v>144</v>
      </c>
      <c r="D74" s="26"/>
      <c r="E74" s="26">
        <v>0</v>
      </c>
      <c r="F74" s="26"/>
      <c r="G74" s="26">
        <v>439120.34</v>
      </c>
      <c r="H74" s="26"/>
      <c r="I74" s="26">
        <v>0</v>
      </c>
      <c r="J74" s="26"/>
      <c r="K74" s="26">
        <v>15412.55</v>
      </c>
      <c r="L74" s="26"/>
      <c r="M74" s="26">
        <v>0</v>
      </c>
      <c r="N74" s="26"/>
      <c r="O74" s="26">
        <v>2288</v>
      </c>
      <c r="P74" s="26"/>
      <c r="Q74" s="26">
        <v>36877.83</v>
      </c>
      <c r="R74" s="26"/>
      <c r="S74" s="26">
        <v>1058.79</v>
      </c>
      <c r="T74" s="26"/>
      <c r="U74" s="26">
        <v>0</v>
      </c>
      <c r="V74" s="26"/>
      <c r="W74" s="26">
        <v>25523.39</v>
      </c>
      <c r="X74" s="26"/>
      <c r="Y74" s="26">
        <v>0</v>
      </c>
      <c r="Z74" s="26"/>
      <c r="AA74" s="26">
        <v>4148.27</v>
      </c>
      <c r="AB74" s="26"/>
      <c r="AC74" s="26">
        <f aca="true" t="shared" si="1" ref="AC74:AC135">SUM(E74:AA74)</f>
        <v>524429.17</v>
      </c>
    </row>
    <row r="75" spans="1:29" s="12" customFormat="1" ht="12">
      <c r="A75" s="26" t="s">
        <v>599</v>
      </c>
      <c r="B75" s="26"/>
      <c r="C75" s="26" t="s">
        <v>111</v>
      </c>
      <c r="D75" s="26"/>
      <c r="E75" s="12">
        <f>919647+1094311</f>
        <v>2013958</v>
      </c>
      <c r="G75" s="12">
        <v>0</v>
      </c>
      <c r="I75" s="12">
        <v>125404</v>
      </c>
      <c r="K75" s="12">
        <v>62741</v>
      </c>
      <c r="M75" s="12">
        <v>0</v>
      </c>
      <c r="O75" s="12">
        <v>8682</v>
      </c>
      <c r="Q75" s="12">
        <v>117479</v>
      </c>
      <c r="S75" s="12">
        <v>65082</v>
      </c>
      <c r="U75" s="12">
        <v>0</v>
      </c>
      <c r="W75" s="12">
        <v>0</v>
      </c>
      <c r="Y75" s="12">
        <v>0</v>
      </c>
      <c r="AA75" s="12">
        <v>0</v>
      </c>
      <c r="AB75" s="26"/>
      <c r="AC75" s="12">
        <f t="shared" si="1"/>
        <v>2393346</v>
      </c>
    </row>
    <row r="76" spans="1:29" s="12" customFormat="1" ht="12">
      <c r="A76" s="12" t="s">
        <v>239</v>
      </c>
      <c r="C76" s="12" t="s">
        <v>150</v>
      </c>
      <c r="E76" s="12">
        <v>975539</v>
      </c>
      <c r="G76" s="12">
        <v>2565311</v>
      </c>
      <c r="I76" s="12">
        <v>0</v>
      </c>
      <c r="K76" s="12">
        <v>114312</v>
      </c>
      <c r="M76" s="12">
        <v>0</v>
      </c>
      <c r="O76" s="12">
        <v>31223</v>
      </c>
      <c r="Q76" s="12">
        <v>181103</v>
      </c>
      <c r="S76" s="12">
        <v>4257</v>
      </c>
      <c r="U76" s="12">
        <v>0</v>
      </c>
      <c r="W76" s="12">
        <v>279000</v>
      </c>
      <c r="Y76" s="12">
        <v>0</v>
      </c>
      <c r="AA76" s="12">
        <v>0</v>
      </c>
      <c r="AC76" s="12">
        <f t="shared" si="1"/>
        <v>4150745</v>
      </c>
    </row>
    <row r="77" spans="1:29" s="12" customFormat="1" ht="12">
      <c r="A77" s="12" t="s">
        <v>109</v>
      </c>
      <c r="C77" s="12" t="s">
        <v>110</v>
      </c>
      <c r="E77" s="12">
        <v>2620870</v>
      </c>
      <c r="G77" s="12">
        <v>2439658</v>
      </c>
      <c r="I77" s="12">
        <v>0</v>
      </c>
      <c r="K77" s="12">
        <v>144171</v>
      </c>
      <c r="M77" s="12">
        <v>0</v>
      </c>
      <c r="O77" s="12">
        <v>2840</v>
      </c>
      <c r="Q77" s="12">
        <v>172319</v>
      </c>
      <c r="S77" s="12">
        <v>43266</v>
      </c>
      <c r="U77" s="12">
        <v>0</v>
      </c>
      <c r="W77" s="12">
        <v>0</v>
      </c>
      <c r="Y77" s="12">
        <v>0</v>
      </c>
      <c r="AA77" s="12">
        <v>0</v>
      </c>
      <c r="AC77" s="12">
        <f t="shared" si="1"/>
        <v>5423124</v>
      </c>
    </row>
    <row r="78" spans="1:29" s="12" customFormat="1" ht="12">
      <c r="A78" s="12" t="s">
        <v>240</v>
      </c>
      <c r="C78" s="12" t="s">
        <v>135</v>
      </c>
      <c r="E78" s="12">
        <v>0</v>
      </c>
      <c r="G78" s="12">
        <v>311133.7</v>
      </c>
      <c r="I78" s="12">
        <v>0</v>
      </c>
      <c r="K78" s="12">
        <v>7883.09</v>
      </c>
      <c r="M78" s="12">
        <v>0</v>
      </c>
      <c r="O78" s="12">
        <v>10240.49</v>
      </c>
      <c r="Q78" s="12">
        <v>8518.89</v>
      </c>
      <c r="S78" s="12">
        <v>3003.51</v>
      </c>
      <c r="U78" s="12">
        <v>0</v>
      </c>
      <c r="W78" s="12">
        <v>0</v>
      </c>
      <c r="Y78" s="12">
        <v>0</v>
      </c>
      <c r="AA78" s="12">
        <v>0</v>
      </c>
      <c r="AC78" s="12">
        <f t="shared" si="1"/>
        <v>340779.68000000005</v>
      </c>
    </row>
    <row r="79" spans="1:29" s="12" customFormat="1" ht="12">
      <c r="A79" s="12" t="s">
        <v>241</v>
      </c>
      <c r="C79" s="12" t="s">
        <v>160</v>
      </c>
      <c r="E79" s="12">
        <v>895268</v>
      </c>
      <c r="G79" s="12">
        <v>2854735</v>
      </c>
      <c r="I79" s="12">
        <v>4190</v>
      </c>
      <c r="K79" s="12">
        <v>162044</v>
      </c>
      <c r="M79" s="12">
        <v>0</v>
      </c>
      <c r="O79" s="12">
        <v>4182</v>
      </c>
      <c r="Q79" s="12">
        <v>57332</v>
      </c>
      <c r="S79" s="12">
        <v>12672</v>
      </c>
      <c r="U79" s="12">
        <v>0</v>
      </c>
      <c r="W79" s="12">
        <v>530657</v>
      </c>
      <c r="Y79" s="12">
        <v>0</v>
      </c>
      <c r="AA79" s="12">
        <v>0</v>
      </c>
      <c r="AC79" s="12">
        <f t="shared" si="1"/>
        <v>4521080</v>
      </c>
    </row>
    <row r="80" spans="1:29" s="12" customFormat="1" ht="12">
      <c r="A80" s="12" t="s">
        <v>242</v>
      </c>
      <c r="C80" s="12" t="s">
        <v>106</v>
      </c>
      <c r="E80" s="12">
        <v>117750</v>
      </c>
      <c r="G80" s="12">
        <v>288430</v>
      </c>
      <c r="I80" s="12">
        <v>0</v>
      </c>
      <c r="K80" s="12">
        <v>3528</v>
      </c>
      <c r="M80" s="12">
        <v>0</v>
      </c>
      <c r="O80" s="12">
        <v>2506</v>
      </c>
      <c r="Q80" s="12">
        <v>8232</v>
      </c>
      <c r="S80" s="12">
        <v>16173</v>
      </c>
      <c r="U80" s="12">
        <v>0</v>
      </c>
      <c r="W80" s="12">
        <v>20000</v>
      </c>
      <c r="Y80" s="12">
        <v>0</v>
      </c>
      <c r="AA80" s="12">
        <v>0</v>
      </c>
      <c r="AC80" s="12">
        <f t="shared" si="1"/>
        <v>456619</v>
      </c>
    </row>
    <row r="81" spans="1:29" s="12" customFormat="1" ht="12">
      <c r="A81" s="12" t="s">
        <v>243</v>
      </c>
      <c r="C81" s="12" t="s">
        <v>244</v>
      </c>
      <c r="E81" s="12">
        <v>0</v>
      </c>
      <c r="G81" s="12">
        <v>0</v>
      </c>
      <c r="I81" s="12">
        <v>2513294</v>
      </c>
      <c r="K81" s="12">
        <v>108057</v>
      </c>
      <c r="M81" s="12">
        <v>0</v>
      </c>
      <c r="O81" s="12">
        <v>35231</v>
      </c>
      <c r="Q81" s="12">
        <v>80888</v>
      </c>
      <c r="S81" s="12">
        <v>79405</v>
      </c>
      <c r="U81" s="12">
        <v>0</v>
      </c>
      <c r="W81" s="12">
        <v>200000</v>
      </c>
      <c r="Y81" s="12">
        <v>0</v>
      </c>
      <c r="AA81" s="12">
        <v>0</v>
      </c>
      <c r="AC81" s="12">
        <f t="shared" si="1"/>
        <v>3016875</v>
      </c>
    </row>
    <row r="82" spans="1:29" s="12" customFormat="1" ht="12">
      <c r="A82" s="12" t="s">
        <v>245</v>
      </c>
      <c r="C82" s="12" t="s">
        <v>146</v>
      </c>
      <c r="E82" s="12">
        <v>0</v>
      </c>
      <c r="G82" s="12">
        <v>799936.08</v>
      </c>
      <c r="I82" s="12">
        <v>0</v>
      </c>
      <c r="K82" s="12">
        <v>17180.92</v>
      </c>
      <c r="M82" s="12">
        <v>0</v>
      </c>
      <c r="O82" s="12">
        <v>7934.03</v>
      </c>
      <c r="Q82" s="12">
        <v>37960.32</v>
      </c>
      <c r="S82" s="12">
        <v>5360.34</v>
      </c>
      <c r="U82" s="12">
        <v>0</v>
      </c>
      <c r="W82" s="12">
        <v>0</v>
      </c>
      <c r="Y82" s="12">
        <v>0</v>
      </c>
      <c r="AA82" s="12">
        <v>0</v>
      </c>
      <c r="AC82" s="12">
        <f t="shared" si="1"/>
        <v>868371.69</v>
      </c>
    </row>
    <row r="83" spans="1:29" s="12" customFormat="1" ht="12">
      <c r="A83" s="12" t="s">
        <v>246</v>
      </c>
      <c r="C83" s="12" t="s">
        <v>154</v>
      </c>
      <c r="E83" s="12">
        <v>0</v>
      </c>
      <c r="G83" s="12">
        <v>101381.54</v>
      </c>
      <c r="I83" s="12">
        <v>155.8</v>
      </c>
      <c r="K83" s="12">
        <v>2583.28</v>
      </c>
      <c r="M83" s="12">
        <v>0</v>
      </c>
      <c r="O83" s="12">
        <v>10001.01</v>
      </c>
      <c r="Q83" s="12">
        <v>1760.76</v>
      </c>
      <c r="S83" s="12">
        <v>340</v>
      </c>
      <c r="U83" s="12">
        <v>0</v>
      </c>
      <c r="W83" s="12">
        <v>0</v>
      </c>
      <c r="Y83" s="12">
        <v>0</v>
      </c>
      <c r="AA83" s="12">
        <v>0</v>
      </c>
      <c r="AC83" s="12">
        <f t="shared" si="1"/>
        <v>116222.38999999998</v>
      </c>
    </row>
    <row r="84" spans="1:29" s="12" customFormat="1" ht="12">
      <c r="A84" s="12" t="s">
        <v>247</v>
      </c>
      <c r="C84" s="12" t="s">
        <v>143</v>
      </c>
      <c r="E84" s="12">
        <v>0</v>
      </c>
      <c r="G84" s="12">
        <v>112212</v>
      </c>
      <c r="I84" s="12">
        <v>0</v>
      </c>
      <c r="K84" s="12">
        <v>3267</v>
      </c>
      <c r="M84" s="12">
        <v>0</v>
      </c>
      <c r="O84" s="12">
        <v>2313</v>
      </c>
      <c r="Q84" s="12">
        <v>420</v>
      </c>
      <c r="S84" s="12">
        <v>1026</v>
      </c>
      <c r="U84" s="12">
        <v>0</v>
      </c>
      <c r="W84" s="12">
        <v>0</v>
      </c>
      <c r="Y84" s="12">
        <v>0</v>
      </c>
      <c r="AA84" s="12">
        <v>0</v>
      </c>
      <c r="AC84" s="12">
        <f t="shared" si="1"/>
        <v>119238</v>
      </c>
    </row>
    <row r="85" spans="1:29" s="12" customFormat="1" ht="12">
      <c r="A85" s="12" t="s">
        <v>248</v>
      </c>
      <c r="C85" s="12" t="s">
        <v>147</v>
      </c>
      <c r="E85" s="12">
        <v>0</v>
      </c>
      <c r="G85" s="12">
        <v>1354828.11</v>
      </c>
      <c r="I85" s="12">
        <v>0</v>
      </c>
      <c r="K85" s="12">
        <v>61661.88</v>
      </c>
      <c r="M85" s="12">
        <v>0</v>
      </c>
      <c r="O85" s="12">
        <v>8626.77</v>
      </c>
      <c r="Q85" s="12">
        <v>95896.57</v>
      </c>
      <c r="S85" s="12">
        <v>6673.39</v>
      </c>
      <c r="U85" s="12">
        <v>0</v>
      </c>
      <c r="W85" s="12">
        <v>150000</v>
      </c>
      <c r="Y85" s="12">
        <v>0</v>
      </c>
      <c r="AA85" s="12">
        <v>0</v>
      </c>
      <c r="AC85" s="12">
        <f t="shared" si="1"/>
        <v>1677686.72</v>
      </c>
    </row>
    <row r="86" spans="1:29" s="12" customFormat="1" ht="12">
      <c r="A86" s="12" t="s">
        <v>249</v>
      </c>
      <c r="C86" s="12" t="s">
        <v>145</v>
      </c>
      <c r="E86" s="12">
        <v>0</v>
      </c>
      <c r="G86" s="12">
        <v>639805.99</v>
      </c>
      <c r="I86" s="12">
        <v>2354.38</v>
      </c>
      <c r="K86" s="12">
        <v>21010.31</v>
      </c>
      <c r="M86" s="12">
        <v>0</v>
      </c>
      <c r="O86" s="12">
        <v>9266.64</v>
      </c>
      <c r="Q86" s="12">
        <v>55682.48</v>
      </c>
      <c r="S86" s="12">
        <v>1279.8</v>
      </c>
      <c r="U86" s="12">
        <v>0</v>
      </c>
      <c r="W86" s="12">
        <v>0</v>
      </c>
      <c r="Y86" s="12">
        <v>0</v>
      </c>
      <c r="AA86" s="12">
        <v>0</v>
      </c>
      <c r="AC86" s="12">
        <f t="shared" si="1"/>
        <v>729399.6000000001</v>
      </c>
    </row>
    <row r="87" spans="1:29" s="12" customFormat="1" ht="12">
      <c r="A87" s="12" t="s">
        <v>250</v>
      </c>
      <c r="C87" s="12" t="s">
        <v>251</v>
      </c>
      <c r="E87" s="12">
        <v>0</v>
      </c>
      <c r="G87" s="12">
        <v>968643</v>
      </c>
      <c r="I87" s="12">
        <v>0</v>
      </c>
      <c r="K87" s="12">
        <v>29412</v>
      </c>
      <c r="M87" s="12">
        <v>0</v>
      </c>
      <c r="O87" s="12">
        <v>7658</v>
      </c>
      <c r="Q87" s="12">
        <v>22608</v>
      </c>
      <c r="S87" s="12">
        <v>21042</v>
      </c>
      <c r="U87" s="12">
        <v>0</v>
      </c>
      <c r="W87" s="12">
        <v>0</v>
      </c>
      <c r="Y87" s="12">
        <v>0</v>
      </c>
      <c r="AA87" s="12">
        <v>0</v>
      </c>
      <c r="AC87" s="12">
        <f t="shared" si="1"/>
        <v>1049363</v>
      </c>
    </row>
    <row r="88" spans="1:29" s="12" customFormat="1" ht="12">
      <c r="A88" s="12" t="s">
        <v>252</v>
      </c>
      <c r="C88" s="12" t="s">
        <v>108</v>
      </c>
      <c r="E88" s="12">
        <v>2119006</v>
      </c>
      <c r="G88" s="12">
        <v>0</v>
      </c>
      <c r="I88" s="12">
        <v>3583002</v>
      </c>
      <c r="K88" s="12">
        <v>225410</v>
      </c>
      <c r="M88" s="12">
        <v>0</v>
      </c>
      <c r="O88" s="12">
        <v>29189</v>
      </c>
      <c r="Q88" s="12">
        <v>43616</v>
      </c>
      <c r="S88" s="12">
        <f>7820+8025</f>
        <v>15845</v>
      </c>
      <c r="U88" s="12">
        <v>0</v>
      </c>
      <c r="W88" s="12">
        <v>0</v>
      </c>
      <c r="Y88" s="12">
        <v>0</v>
      </c>
      <c r="AA88" s="12">
        <v>224412</v>
      </c>
      <c r="AC88" s="12">
        <f t="shared" si="1"/>
        <v>6240480</v>
      </c>
    </row>
    <row r="89" spans="1:29" s="12" customFormat="1" ht="12">
      <c r="A89" s="12" t="s">
        <v>253</v>
      </c>
      <c r="C89" s="12" t="s">
        <v>148</v>
      </c>
      <c r="E89" s="12">
        <v>0</v>
      </c>
      <c r="G89" s="12">
        <v>854281.36</v>
      </c>
      <c r="I89" s="12">
        <v>0</v>
      </c>
      <c r="K89" s="12">
        <v>18747.99</v>
      </c>
      <c r="M89" s="12">
        <v>0</v>
      </c>
      <c r="O89" s="12">
        <v>5040</v>
      </c>
      <c r="Q89" s="12">
        <v>48789.51</v>
      </c>
      <c r="S89" s="12">
        <v>1851.04</v>
      </c>
      <c r="U89" s="12">
        <v>0</v>
      </c>
      <c r="W89" s="12">
        <v>100000</v>
      </c>
      <c r="Y89" s="12">
        <v>0</v>
      </c>
      <c r="AA89" s="12">
        <v>0</v>
      </c>
      <c r="AC89" s="12">
        <f t="shared" si="1"/>
        <v>1028709.9</v>
      </c>
    </row>
    <row r="90" spans="1:29" s="12" customFormat="1" ht="12">
      <c r="A90" s="12" t="s">
        <v>127</v>
      </c>
      <c r="C90" s="12" t="s">
        <v>149</v>
      </c>
      <c r="E90" s="12">
        <v>0</v>
      </c>
      <c r="G90" s="12">
        <v>0</v>
      </c>
      <c r="I90" s="12">
        <v>850106.23</v>
      </c>
      <c r="K90" s="12">
        <v>13117.61</v>
      </c>
      <c r="M90" s="12">
        <v>0</v>
      </c>
      <c r="O90" s="12">
        <v>6293</v>
      </c>
      <c r="Q90" s="12">
        <v>16186.24</v>
      </c>
      <c r="S90" s="12">
        <v>9067.02</v>
      </c>
      <c r="U90" s="12">
        <v>0</v>
      </c>
      <c r="W90" s="12">
        <v>0</v>
      </c>
      <c r="Y90" s="12">
        <v>0</v>
      </c>
      <c r="AA90" s="12">
        <v>0</v>
      </c>
      <c r="AC90" s="12">
        <f t="shared" si="1"/>
        <v>894770.1</v>
      </c>
    </row>
    <row r="91" spans="1:29" s="12" customFormat="1" ht="12">
      <c r="A91" s="12" t="s">
        <v>128</v>
      </c>
      <c r="C91" s="12" t="s">
        <v>117</v>
      </c>
      <c r="E91" s="12">
        <v>0</v>
      </c>
      <c r="G91" s="12">
        <v>138161.74</v>
      </c>
      <c r="I91" s="12">
        <v>0</v>
      </c>
      <c r="K91" s="12">
        <v>3200.88</v>
      </c>
      <c r="M91" s="12">
        <v>0</v>
      </c>
      <c r="O91" s="12">
        <v>784.15</v>
      </c>
      <c r="Q91" s="12">
        <v>221.01</v>
      </c>
      <c r="S91" s="12">
        <v>1830.15</v>
      </c>
      <c r="U91" s="12">
        <v>0</v>
      </c>
      <c r="W91" s="12">
        <v>0</v>
      </c>
      <c r="Y91" s="12">
        <v>0</v>
      </c>
      <c r="AA91" s="12">
        <v>0</v>
      </c>
      <c r="AC91" s="12">
        <f t="shared" si="1"/>
        <v>144197.93</v>
      </c>
    </row>
    <row r="92" spans="1:29" s="12" customFormat="1" ht="12">
      <c r="A92" s="12" t="s">
        <v>254</v>
      </c>
      <c r="C92" s="12" t="s">
        <v>150</v>
      </c>
      <c r="E92" s="12">
        <v>0</v>
      </c>
      <c r="G92" s="12">
        <v>571266.79</v>
      </c>
      <c r="I92" s="12">
        <v>0</v>
      </c>
      <c r="K92" s="12">
        <v>21797.03</v>
      </c>
      <c r="M92" s="12">
        <v>0</v>
      </c>
      <c r="O92" s="12">
        <v>8187.99</v>
      </c>
      <c r="Q92" s="12">
        <v>26844.45</v>
      </c>
      <c r="S92" s="12">
        <v>1502.87</v>
      </c>
      <c r="U92" s="12">
        <v>0</v>
      </c>
      <c r="W92" s="12">
        <v>0</v>
      </c>
      <c r="Y92" s="12">
        <v>0</v>
      </c>
      <c r="AA92" s="12">
        <v>0</v>
      </c>
      <c r="AC92" s="12">
        <f t="shared" si="1"/>
        <v>629599.13</v>
      </c>
    </row>
    <row r="93" spans="1:29" s="12" customFormat="1" ht="12">
      <c r="A93" s="12" t="s">
        <v>255</v>
      </c>
      <c r="C93" s="12" t="s">
        <v>136</v>
      </c>
      <c r="E93" s="12">
        <v>0</v>
      </c>
      <c r="G93" s="12">
        <v>186942.73</v>
      </c>
      <c r="I93" s="12">
        <v>2725.24</v>
      </c>
      <c r="K93" s="12">
        <v>3580.13</v>
      </c>
      <c r="M93" s="12">
        <v>0</v>
      </c>
      <c r="O93" s="12">
        <v>0</v>
      </c>
      <c r="Q93" s="12">
        <v>16623.17</v>
      </c>
      <c r="S93" s="12">
        <v>6600</v>
      </c>
      <c r="U93" s="12">
        <v>0</v>
      </c>
      <c r="W93" s="12">
        <v>0</v>
      </c>
      <c r="Y93" s="12">
        <v>0</v>
      </c>
      <c r="AA93" s="12">
        <v>0</v>
      </c>
      <c r="AC93" s="12">
        <f t="shared" si="1"/>
        <v>216471.27000000002</v>
      </c>
    </row>
    <row r="94" spans="1:29" s="12" customFormat="1" ht="12">
      <c r="A94" s="12" t="s">
        <v>256</v>
      </c>
      <c r="C94" s="12" t="s">
        <v>188</v>
      </c>
      <c r="E94" s="12">
        <v>783188</v>
      </c>
      <c r="G94" s="12">
        <v>1738583</v>
      </c>
      <c r="I94" s="12">
        <v>0</v>
      </c>
      <c r="K94" s="12">
        <v>76611</v>
      </c>
      <c r="M94" s="12">
        <v>84410</v>
      </c>
      <c r="O94" s="12">
        <v>29252</v>
      </c>
      <c r="Q94" s="12">
        <v>22509</v>
      </c>
      <c r="S94" s="12">
        <v>16240</v>
      </c>
      <c r="U94" s="12">
        <v>0</v>
      </c>
      <c r="W94" s="12">
        <v>0</v>
      </c>
      <c r="Y94" s="12">
        <v>0</v>
      </c>
      <c r="AA94" s="12">
        <v>0</v>
      </c>
      <c r="AC94" s="12">
        <f t="shared" si="1"/>
        <v>2750793</v>
      </c>
    </row>
    <row r="95" spans="1:29" s="12" customFormat="1" ht="12">
      <c r="A95" s="12" t="s">
        <v>257</v>
      </c>
      <c r="C95" s="12" t="s">
        <v>134</v>
      </c>
      <c r="E95" s="12">
        <v>2275000</v>
      </c>
      <c r="G95" s="12">
        <v>753135</v>
      </c>
      <c r="I95" s="12">
        <v>0</v>
      </c>
      <c r="K95" s="12">
        <v>35990</v>
      </c>
      <c r="M95" s="12">
        <v>0</v>
      </c>
      <c r="O95" s="12">
        <v>5322</v>
      </c>
      <c r="Q95" s="12">
        <v>54957</v>
      </c>
      <c r="S95" s="12">
        <v>298675</v>
      </c>
      <c r="U95" s="12">
        <v>0</v>
      </c>
      <c r="W95" s="12">
        <v>100000</v>
      </c>
      <c r="Y95" s="12">
        <v>0</v>
      </c>
      <c r="AA95" s="12">
        <v>2500000</v>
      </c>
      <c r="AC95" s="12">
        <f t="shared" si="1"/>
        <v>6023079</v>
      </c>
    </row>
    <row r="96" spans="1:29" s="12" customFormat="1" ht="12">
      <c r="A96" s="12" t="s">
        <v>258</v>
      </c>
      <c r="C96" s="12" t="s">
        <v>259</v>
      </c>
      <c r="E96" s="12">
        <v>4067420</v>
      </c>
      <c r="G96" s="12">
        <v>0</v>
      </c>
      <c r="I96" s="12">
        <f>5374459+15770</f>
        <v>5390229</v>
      </c>
      <c r="K96" s="12">
        <v>214277</v>
      </c>
      <c r="M96" s="12">
        <v>0</v>
      </c>
      <c r="O96" s="12">
        <v>2759</v>
      </c>
      <c r="Q96" s="12">
        <v>308579</v>
      </c>
      <c r="S96" s="12">
        <v>52463</v>
      </c>
      <c r="U96" s="12">
        <v>0</v>
      </c>
      <c r="W96" s="12">
        <v>2505076</v>
      </c>
      <c r="Y96" s="12">
        <v>0</v>
      </c>
      <c r="AA96" s="12">
        <v>0</v>
      </c>
      <c r="AC96" s="12">
        <f t="shared" si="1"/>
        <v>12540803</v>
      </c>
    </row>
    <row r="97" spans="1:29" s="12" customFormat="1" ht="12">
      <c r="A97" s="12" t="s">
        <v>260</v>
      </c>
      <c r="C97" s="12" t="s">
        <v>174</v>
      </c>
      <c r="E97" s="12">
        <v>0</v>
      </c>
      <c r="G97" s="12">
        <v>953910.16</v>
      </c>
      <c r="I97" s="12">
        <v>0</v>
      </c>
      <c r="K97" s="12">
        <v>18609.5</v>
      </c>
      <c r="M97" s="12">
        <v>0</v>
      </c>
      <c r="O97" s="12">
        <v>117219.63</v>
      </c>
      <c r="Q97" s="12">
        <v>54806.28</v>
      </c>
      <c r="S97" s="12">
        <v>1865.45</v>
      </c>
      <c r="U97" s="12">
        <v>0</v>
      </c>
      <c r="W97" s="12">
        <v>0</v>
      </c>
      <c r="Y97" s="12">
        <v>0</v>
      </c>
      <c r="AA97" s="12">
        <v>0</v>
      </c>
      <c r="AC97" s="12">
        <f t="shared" si="1"/>
        <v>1146411.02</v>
      </c>
    </row>
    <row r="98" spans="1:29" s="12" customFormat="1" ht="12">
      <c r="A98" s="12" t="s">
        <v>261</v>
      </c>
      <c r="C98" s="12" t="s">
        <v>262</v>
      </c>
      <c r="E98" s="12">
        <v>0</v>
      </c>
      <c r="G98" s="12">
        <v>1485654</v>
      </c>
      <c r="I98" s="12">
        <v>0</v>
      </c>
      <c r="K98" s="12">
        <v>26275</v>
      </c>
      <c r="M98" s="12">
        <v>0</v>
      </c>
      <c r="O98" s="12">
        <v>1453</v>
      </c>
      <c r="Q98" s="12">
        <v>117715</v>
      </c>
      <c r="S98" s="12">
        <v>5117</v>
      </c>
      <c r="U98" s="12">
        <v>276971</v>
      </c>
      <c r="W98" s="12">
        <v>0</v>
      </c>
      <c r="Y98" s="12">
        <v>0</v>
      </c>
      <c r="AA98" s="12">
        <v>0</v>
      </c>
      <c r="AC98" s="12">
        <f t="shared" si="1"/>
        <v>1913185</v>
      </c>
    </row>
    <row r="99" spans="1:29" s="12" customFormat="1" ht="12">
      <c r="A99" s="12" t="s">
        <v>263</v>
      </c>
      <c r="C99" s="12" t="s">
        <v>136</v>
      </c>
      <c r="E99" s="12">
        <v>0</v>
      </c>
      <c r="G99" s="12">
        <v>414419.95</v>
      </c>
      <c r="I99" s="12">
        <v>14914.08</v>
      </c>
      <c r="K99" s="12">
        <v>18314.62</v>
      </c>
      <c r="M99" s="12">
        <v>0</v>
      </c>
      <c r="O99" s="12">
        <v>1705.9</v>
      </c>
      <c r="Q99" s="12">
        <v>7567.45</v>
      </c>
      <c r="S99" s="12">
        <v>0</v>
      </c>
      <c r="U99" s="12">
        <v>360</v>
      </c>
      <c r="W99" s="12">
        <v>112560</v>
      </c>
      <c r="Y99" s="12">
        <v>0</v>
      </c>
      <c r="AA99" s="12">
        <v>0</v>
      </c>
      <c r="AC99" s="12">
        <f t="shared" si="1"/>
        <v>569842</v>
      </c>
    </row>
    <row r="100" spans="1:29" s="12" customFormat="1" ht="12">
      <c r="A100" s="12" t="s">
        <v>264</v>
      </c>
      <c r="C100" s="12" t="s">
        <v>154</v>
      </c>
      <c r="E100" s="12">
        <v>0</v>
      </c>
      <c r="G100" s="12">
        <v>80462</v>
      </c>
      <c r="I100" s="12">
        <v>0</v>
      </c>
      <c r="K100" s="12">
        <v>1650</v>
      </c>
      <c r="M100" s="12">
        <v>0</v>
      </c>
      <c r="O100" s="12">
        <v>720</v>
      </c>
      <c r="Q100" s="12">
        <v>2128</v>
      </c>
      <c r="S100" s="12">
        <v>520</v>
      </c>
      <c r="U100" s="12">
        <v>0</v>
      </c>
      <c r="W100" s="12">
        <v>0</v>
      </c>
      <c r="Y100" s="12">
        <v>0</v>
      </c>
      <c r="AA100" s="12">
        <v>0</v>
      </c>
      <c r="AC100" s="12">
        <f t="shared" si="1"/>
        <v>85480</v>
      </c>
    </row>
    <row r="101" spans="1:29" s="12" customFormat="1" ht="12">
      <c r="A101" s="12" t="s">
        <v>265</v>
      </c>
      <c r="C101" s="12" t="s">
        <v>266</v>
      </c>
      <c r="E101" s="12">
        <v>469</v>
      </c>
      <c r="G101" s="12">
        <v>0</v>
      </c>
      <c r="I101" s="12">
        <v>0</v>
      </c>
      <c r="K101" s="12">
        <v>13200</v>
      </c>
      <c r="M101" s="12">
        <v>0</v>
      </c>
      <c r="O101" s="12">
        <v>0</v>
      </c>
      <c r="Q101" s="12">
        <v>9138</v>
      </c>
      <c r="S101" s="12">
        <v>0</v>
      </c>
      <c r="U101" s="12">
        <v>0</v>
      </c>
      <c r="W101" s="12">
        <v>30000</v>
      </c>
      <c r="Y101" s="12">
        <v>0</v>
      </c>
      <c r="AA101" s="12">
        <v>0</v>
      </c>
      <c r="AC101" s="12">
        <f t="shared" si="1"/>
        <v>52807</v>
      </c>
    </row>
    <row r="102" spans="1:29" s="12" customFormat="1" ht="12">
      <c r="A102" s="12" t="s">
        <v>267</v>
      </c>
      <c r="C102" s="12" t="s">
        <v>136</v>
      </c>
      <c r="E102" s="12">
        <v>0</v>
      </c>
      <c r="G102" s="12">
        <v>315441.73</v>
      </c>
      <c r="I102" s="12">
        <v>30850.11</v>
      </c>
      <c r="K102" s="12">
        <v>21678.15</v>
      </c>
      <c r="M102" s="12">
        <v>0</v>
      </c>
      <c r="O102" s="12">
        <v>38466.98</v>
      </c>
      <c r="Q102" s="12">
        <v>4096.68</v>
      </c>
      <c r="S102" s="12">
        <v>1734.33</v>
      </c>
      <c r="U102" s="12">
        <v>22823.7</v>
      </c>
      <c r="W102" s="12">
        <v>0</v>
      </c>
      <c r="Y102" s="12">
        <v>8500</v>
      </c>
      <c r="AA102" s="12">
        <v>0</v>
      </c>
      <c r="AC102" s="12">
        <f t="shared" si="1"/>
        <v>443591.68</v>
      </c>
    </row>
    <row r="103" spans="1:29" s="12" customFormat="1" ht="12">
      <c r="A103" s="12" t="s">
        <v>268</v>
      </c>
      <c r="C103" s="12" t="s">
        <v>269</v>
      </c>
      <c r="E103" s="12">
        <v>36583</v>
      </c>
      <c r="G103" s="12">
        <v>433976</v>
      </c>
      <c r="I103" s="12">
        <v>2962</v>
      </c>
      <c r="K103" s="12">
        <v>8025</v>
      </c>
      <c r="M103" s="12">
        <v>0</v>
      </c>
      <c r="O103" s="12">
        <v>45455</v>
      </c>
      <c r="Q103" s="12">
        <v>61772</v>
      </c>
      <c r="S103" s="12">
        <v>1113</v>
      </c>
      <c r="U103" s="12">
        <v>0</v>
      </c>
      <c r="W103" s="12">
        <v>50000</v>
      </c>
      <c r="Y103" s="12">
        <v>0</v>
      </c>
      <c r="AA103" s="12">
        <v>0</v>
      </c>
      <c r="AC103" s="12">
        <f t="shared" si="1"/>
        <v>639886</v>
      </c>
    </row>
    <row r="104" spans="1:29" s="12" customFormat="1" ht="12">
      <c r="A104" s="12" t="s">
        <v>129</v>
      </c>
      <c r="C104" s="12" t="s">
        <v>150</v>
      </c>
      <c r="E104" s="12">
        <v>0</v>
      </c>
      <c r="G104" s="12">
        <v>406881.54</v>
      </c>
      <c r="I104" s="12">
        <v>0</v>
      </c>
      <c r="K104" s="12">
        <v>14821.78</v>
      </c>
      <c r="M104" s="12">
        <v>0</v>
      </c>
      <c r="O104" s="12">
        <v>14787.23</v>
      </c>
      <c r="Q104" s="12">
        <v>26616.82</v>
      </c>
      <c r="S104" s="12">
        <v>329.12</v>
      </c>
      <c r="U104" s="12">
        <v>0</v>
      </c>
      <c r="W104" s="12">
        <v>20000</v>
      </c>
      <c r="Y104" s="12">
        <v>0</v>
      </c>
      <c r="AA104" s="12">
        <v>0</v>
      </c>
      <c r="AC104" s="12">
        <f t="shared" si="1"/>
        <v>483436.49</v>
      </c>
    </row>
    <row r="105" spans="1:29" s="12" customFormat="1" ht="12">
      <c r="A105" s="12" t="s">
        <v>270</v>
      </c>
      <c r="C105" s="12" t="s">
        <v>151</v>
      </c>
      <c r="E105" s="12">
        <v>0</v>
      </c>
      <c r="G105" s="12">
        <v>0</v>
      </c>
      <c r="I105" s="12">
        <v>2170.42</v>
      </c>
      <c r="K105" s="12">
        <v>65770.53</v>
      </c>
      <c r="M105" s="12">
        <v>0</v>
      </c>
      <c r="O105" s="12">
        <v>41924.4</v>
      </c>
      <c r="Q105" s="12">
        <v>144028.25</v>
      </c>
      <c r="S105" s="12">
        <v>1947.45</v>
      </c>
      <c r="U105" s="12">
        <v>94000</v>
      </c>
      <c r="W105" s="12">
        <v>255.84</v>
      </c>
      <c r="Y105" s="12">
        <v>0</v>
      </c>
      <c r="AA105" s="12">
        <v>0</v>
      </c>
      <c r="AC105" s="12">
        <f t="shared" si="1"/>
        <v>350096.8900000001</v>
      </c>
    </row>
    <row r="106" spans="1:29" s="12" customFormat="1" ht="12">
      <c r="A106" s="12" t="s">
        <v>271</v>
      </c>
      <c r="C106" s="12" t="s">
        <v>153</v>
      </c>
      <c r="E106" s="12">
        <v>124390</v>
      </c>
      <c r="G106" s="12">
        <v>0</v>
      </c>
      <c r="I106" s="12">
        <v>0</v>
      </c>
      <c r="K106" s="12">
        <v>346</v>
      </c>
      <c r="M106" s="12">
        <v>0</v>
      </c>
      <c r="O106" s="12">
        <v>90</v>
      </c>
      <c r="Q106" s="12">
        <v>3581</v>
      </c>
      <c r="S106" s="12">
        <v>745</v>
      </c>
      <c r="U106" s="12">
        <v>0</v>
      </c>
      <c r="W106" s="12">
        <v>0</v>
      </c>
      <c r="Y106" s="12">
        <v>0</v>
      </c>
      <c r="AA106" s="12">
        <v>0</v>
      </c>
      <c r="AC106" s="12">
        <f t="shared" si="1"/>
        <v>129152</v>
      </c>
    </row>
    <row r="107" spans="1:29" s="12" customFormat="1" ht="12">
      <c r="A107" s="12" t="s">
        <v>272</v>
      </c>
      <c r="C107" s="12" t="s">
        <v>273</v>
      </c>
      <c r="E107" s="12">
        <v>0</v>
      </c>
      <c r="G107" s="12">
        <v>1277620.2</v>
      </c>
      <c r="I107" s="12">
        <v>0</v>
      </c>
      <c r="K107" s="12">
        <v>30179.78</v>
      </c>
      <c r="M107" s="12">
        <v>0</v>
      </c>
      <c r="O107" s="12">
        <v>1551</v>
      </c>
      <c r="Q107" s="12">
        <v>42836.07</v>
      </c>
      <c r="S107" s="12">
        <v>1808.87</v>
      </c>
      <c r="U107" s="12">
        <v>61253.5</v>
      </c>
      <c r="W107" s="12">
        <v>50000</v>
      </c>
      <c r="Y107" s="12">
        <v>0</v>
      </c>
      <c r="AA107" s="12">
        <v>0</v>
      </c>
      <c r="AC107" s="12">
        <f t="shared" si="1"/>
        <v>1465249.4200000002</v>
      </c>
    </row>
    <row r="108" spans="1:29" s="12" customFormat="1" ht="12">
      <c r="A108" s="12" t="s">
        <v>274</v>
      </c>
      <c r="C108" s="12" t="s">
        <v>134</v>
      </c>
      <c r="E108" s="12">
        <v>0</v>
      </c>
      <c r="G108" s="12">
        <v>225940.57</v>
      </c>
      <c r="I108" s="12">
        <v>0</v>
      </c>
      <c r="K108" s="12">
        <v>2740.22</v>
      </c>
      <c r="M108" s="12">
        <v>0</v>
      </c>
      <c r="O108" s="12">
        <v>1982.37</v>
      </c>
      <c r="Q108" s="12">
        <v>6728.99</v>
      </c>
      <c r="S108" s="12">
        <v>500</v>
      </c>
      <c r="U108" s="12">
        <v>150</v>
      </c>
      <c r="W108" s="12">
        <v>0</v>
      </c>
      <c r="Y108" s="12">
        <v>0</v>
      </c>
      <c r="AA108" s="12">
        <v>0</v>
      </c>
      <c r="AC108" s="12">
        <f t="shared" si="1"/>
        <v>238042.15</v>
      </c>
    </row>
    <row r="109" spans="1:29" s="12" customFormat="1" ht="12">
      <c r="A109" s="12" t="s">
        <v>275</v>
      </c>
      <c r="C109" s="12" t="s">
        <v>149</v>
      </c>
      <c r="E109" s="12">
        <v>0</v>
      </c>
      <c r="G109" s="12">
        <v>850106.23</v>
      </c>
      <c r="I109" s="12">
        <v>2132.8</v>
      </c>
      <c r="K109" s="12">
        <v>19663.79</v>
      </c>
      <c r="M109" s="12">
        <v>0</v>
      </c>
      <c r="O109" s="12">
        <v>75872.95</v>
      </c>
      <c r="Q109" s="12">
        <v>27321.88</v>
      </c>
      <c r="S109" s="12">
        <v>688.72</v>
      </c>
      <c r="U109" s="12">
        <v>0</v>
      </c>
      <c r="W109" s="12">
        <v>20000</v>
      </c>
      <c r="Y109" s="12">
        <v>0</v>
      </c>
      <c r="AA109" s="12">
        <v>0</v>
      </c>
      <c r="AC109" s="12">
        <f t="shared" si="1"/>
        <v>995786.37</v>
      </c>
    </row>
    <row r="110" spans="1:29" s="12" customFormat="1" ht="12">
      <c r="A110" s="12" t="s">
        <v>276</v>
      </c>
      <c r="C110" s="12" t="s">
        <v>113</v>
      </c>
      <c r="E110" s="12">
        <v>764531</v>
      </c>
      <c r="G110" s="12">
        <v>923274</v>
      </c>
      <c r="I110" s="12">
        <v>0</v>
      </c>
      <c r="K110" s="12">
        <v>73484</v>
      </c>
      <c r="M110" s="12">
        <v>7097</v>
      </c>
      <c r="O110" s="12">
        <v>0</v>
      </c>
      <c r="Q110" s="12">
        <v>18615</v>
      </c>
      <c r="S110" s="12">
        <v>875</v>
      </c>
      <c r="U110" s="12">
        <v>343000</v>
      </c>
      <c r="W110" s="12">
        <v>0</v>
      </c>
      <c r="Y110" s="12">
        <v>0</v>
      </c>
      <c r="AA110" s="12">
        <v>0</v>
      </c>
      <c r="AC110" s="12">
        <f t="shared" si="1"/>
        <v>2130876</v>
      </c>
    </row>
    <row r="111" spans="1:29" s="12" customFormat="1" ht="12">
      <c r="A111" s="12" t="s">
        <v>277</v>
      </c>
      <c r="C111" s="12" t="s">
        <v>278</v>
      </c>
      <c r="E111" s="12">
        <v>283435</v>
      </c>
      <c r="G111" s="12">
        <v>395283</v>
      </c>
      <c r="I111" s="12">
        <v>0</v>
      </c>
      <c r="K111" s="12">
        <v>32112</v>
      </c>
      <c r="M111" s="12">
        <v>10641</v>
      </c>
      <c r="O111" s="12">
        <v>20853</v>
      </c>
      <c r="Q111" s="12">
        <v>8035</v>
      </c>
      <c r="S111" s="12">
        <v>0</v>
      </c>
      <c r="U111" s="12">
        <v>0</v>
      </c>
      <c r="W111" s="12">
        <v>0</v>
      </c>
      <c r="Y111" s="12">
        <v>0</v>
      </c>
      <c r="AA111" s="12">
        <v>0</v>
      </c>
      <c r="AC111" s="12">
        <f t="shared" si="1"/>
        <v>750359</v>
      </c>
    </row>
    <row r="112" spans="1:29" s="12" customFormat="1" ht="12">
      <c r="A112" s="12" t="s">
        <v>130</v>
      </c>
      <c r="C112" s="12" t="s">
        <v>103</v>
      </c>
      <c r="E112" s="12">
        <v>0</v>
      </c>
      <c r="G112" s="12">
        <v>376566.45</v>
      </c>
      <c r="I112" s="12">
        <v>0</v>
      </c>
      <c r="K112" s="12">
        <v>8683.51</v>
      </c>
      <c r="M112" s="12">
        <v>0</v>
      </c>
      <c r="O112" s="12">
        <v>26470.96</v>
      </c>
      <c r="Q112" s="12">
        <v>9285.87</v>
      </c>
      <c r="S112" s="12">
        <v>2662.96</v>
      </c>
      <c r="U112" s="12">
        <v>0</v>
      </c>
      <c r="W112" s="12">
        <v>0</v>
      </c>
      <c r="Y112" s="12">
        <v>0</v>
      </c>
      <c r="AA112" s="12">
        <v>0</v>
      </c>
      <c r="AC112" s="12">
        <f t="shared" si="1"/>
        <v>423669.75000000006</v>
      </c>
    </row>
    <row r="113" spans="1:29" s="12" customFormat="1" ht="12">
      <c r="A113" s="12" t="s">
        <v>279</v>
      </c>
      <c r="C113" s="12" t="s">
        <v>266</v>
      </c>
      <c r="E113" s="12">
        <v>783236</v>
      </c>
      <c r="G113" s="12">
        <v>304</v>
      </c>
      <c r="I113" s="12">
        <v>0</v>
      </c>
      <c r="K113" s="12">
        <v>21961</v>
      </c>
      <c r="M113" s="12">
        <v>0</v>
      </c>
      <c r="O113" s="12">
        <v>23661</v>
      </c>
      <c r="Q113" s="12">
        <f>19897+51+127</f>
        <v>20075</v>
      </c>
      <c r="S113" s="12">
        <v>1850</v>
      </c>
      <c r="U113" s="12">
        <v>0</v>
      </c>
      <c r="W113" s="12">
        <v>0</v>
      </c>
      <c r="Y113" s="12">
        <v>0</v>
      </c>
      <c r="AA113" s="12">
        <v>0</v>
      </c>
      <c r="AC113" s="12">
        <f t="shared" si="1"/>
        <v>851087</v>
      </c>
    </row>
    <row r="114" spans="1:29" s="12" customFormat="1" ht="12">
      <c r="A114" s="12" t="s">
        <v>280</v>
      </c>
      <c r="C114" s="12" t="s">
        <v>146</v>
      </c>
      <c r="E114" s="12">
        <v>0</v>
      </c>
      <c r="G114" s="12">
        <v>276661.02</v>
      </c>
      <c r="I114" s="12">
        <v>0</v>
      </c>
      <c r="K114" s="12">
        <v>4433.14</v>
      </c>
      <c r="M114" s="12">
        <v>0</v>
      </c>
      <c r="O114" s="12">
        <v>2534.31</v>
      </c>
      <c r="Q114" s="12">
        <v>32457.25</v>
      </c>
      <c r="S114" s="12">
        <v>2600.48</v>
      </c>
      <c r="U114" s="12">
        <v>125</v>
      </c>
      <c r="W114" s="12">
        <v>0</v>
      </c>
      <c r="Y114" s="12">
        <v>0</v>
      </c>
      <c r="AA114" s="12">
        <v>0</v>
      </c>
      <c r="AC114" s="12">
        <f t="shared" si="1"/>
        <v>318811.2</v>
      </c>
    </row>
    <row r="115" spans="1:29" s="12" customFormat="1" ht="12">
      <c r="A115" s="12" t="s">
        <v>281</v>
      </c>
      <c r="C115" s="12" t="s">
        <v>282</v>
      </c>
      <c r="E115" s="12">
        <v>0</v>
      </c>
      <c r="G115" s="12">
        <v>490220.61</v>
      </c>
      <c r="I115" s="12">
        <v>0</v>
      </c>
      <c r="K115" s="12">
        <v>14384.8</v>
      </c>
      <c r="M115" s="12">
        <v>0</v>
      </c>
      <c r="O115" s="12">
        <v>8694.51</v>
      </c>
      <c r="Q115" s="12">
        <v>25258.96</v>
      </c>
      <c r="S115" s="12">
        <v>4483.57</v>
      </c>
      <c r="U115" s="12">
        <v>1479.5</v>
      </c>
      <c r="W115" s="12">
        <v>0</v>
      </c>
      <c r="Y115" s="12">
        <v>0</v>
      </c>
      <c r="AA115" s="12">
        <v>0</v>
      </c>
      <c r="AC115" s="12">
        <f t="shared" si="1"/>
        <v>544521.95</v>
      </c>
    </row>
    <row r="116" spans="1:29" s="12" customFormat="1" ht="12">
      <c r="A116" s="12" t="s">
        <v>283</v>
      </c>
      <c r="C116" s="12" t="s">
        <v>152</v>
      </c>
      <c r="E116" s="12">
        <v>0</v>
      </c>
      <c r="G116" s="12">
        <v>529470.04</v>
      </c>
      <c r="I116" s="12">
        <v>0</v>
      </c>
      <c r="K116" s="12">
        <v>14640.83</v>
      </c>
      <c r="M116" s="12">
        <v>0</v>
      </c>
      <c r="O116" s="12">
        <v>1472.56</v>
      </c>
      <c r="Q116" s="12">
        <v>21578.62</v>
      </c>
      <c r="S116" s="12">
        <v>11497.97</v>
      </c>
      <c r="U116" s="12">
        <v>0</v>
      </c>
      <c r="W116" s="12">
        <v>0</v>
      </c>
      <c r="Y116" s="12">
        <v>0</v>
      </c>
      <c r="AA116" s="12">
        <v>0</v>
      </c>
      <c r="AC116" s="12">
        <f t="shared" si="1"/>
        <v>578660.02</v>
      </c>
    </row>
    <row r="117" spans="1:29" s="12" customFormat="1" ht="12">
      <c r="A117" s="12" t="s">
        <v>284</v>
      </c>
      <c r="C117" s="12" t="s">
        <v>138</v>
      </c>
      <c r="E117" s="12">
        <v>697974</v>
      </c>
      <c r="G117" s="12">
        <v>0</v>
      </c>
      <c r="I117" s="12">
        <v>30000</v>
      </c>
      <c r="K117" s="12">
        <v>12918</v>
      </c>
      <c r="M117" s="12">
        <v>0</v>
      </c>
      <c r="O117" s="12">
        <v>2100</v>
      </c>
      <c r="Q117" s="12">
        <v>18360</v>
      </c>
      <c r="S117" s="12">
        <v>27408</v>
      </c>
      <c r="U117" s="12">
        <v>0</v>
      </c>
      <c r="W117" s="12">
        <v>0</v>
      </c>
      <c r="Y117" s="12">
        <v>0</v>
      </c>
      <c r="AA117" s="12">
        <v>0</v>
      </c>
      <c r="AC117" s="12">
        <f t="shared" si="1"/>
        <v>788760</v>
      </c>
    </row>
    <row r="118" spans="1:29" s="12" customFormat="1" ht="12">
      <c r="A118" s="12" t="s">
        <v>285</v>
      </c>
      <c r="C118" s="12" t="s">
        <v>286</v>
      </c>
      <c r="E118" s="12">
        <v>0</v>
      </c>
      <c r="G118" s="12">
        <v>1627942.96</v>
      </c>
      <c r="I118" s="12">
        <v>2280.72</v>
      </c>
      <c r="K118" s="12">
        <v>28590.86</v>
      </c>
      <c r="M118" s="12">
        <v>0</v>
      </c>
      <c r="O118" s="12">
        <v>50</v>
      </c>
      <c r="Q118" s="12">
        <v>294036.16</v>
      </c>
      <c r="S118" s="12">
        <v>5207.36</v>
      </c>
      <c r="U118" s="12">
        <v>0</v>
      </c>
      <c r="W118" s="12">
        <v>22338.52</v>
      </c>
      <c r="Y118" s="12">
        <v>0</v>
      </c>
      <c r="AA118" s="12">
        <v>0</v>
      </c>
      <c r="AC118" s="12">
        <f t="shared" si="1"/>
        <v>1980446.58</v>
      </c>
    </row>
    <row r="119" spans="1:29" s="12" customFormat="1" ht="12">
      <c r="A119" s="12" t="s">
        <v>287</v>
      </c>
      <c r="C119" s="12" t="s">
        <v>136</v>
      </c>
      <c r="E119" s="12">
        <v>0</v>
      </c>
      <c r="G119" s="12">
        <v>261151.6</v>
      </c>
      <c r="I119" s="12">
        <v>17667.93</v>
      </c>
      <c r="K119" s="12">
        <v>6701.9</v>
      </c>
      <c r="M119" s="12">
        <v>1049.8</v>
      </c>
      <c r="O119" s="12">
        <v>10025</v>
      </c>
      <c r="Q119" s="12">
        <v>204.24</v>
      </c>
      <c r="S119" s="12">
        <v>1633.12</v>
      </c>
      <c r="U119" s="12">
        <v>0</v>
      </c>
      <c r="W119" s="12">
        <v>0</v>
      </c>
      <c r="Y119" s="12">
        <v>0</v>
      </c>
      <c r="AA119" s="12">
        <v>0</v>
      </c>
      <c r="AC119" s="12">
        <f t="shared" si="1"/>
        <v>298433.59</v>
      </c>
    </row>
    <row r="120" spans="1:29" s="12" customFormat="1" ht="12">
      <c r="A120" s="12" t="s">
        <v>288</v>
      </c>
      <c r="C120" s="12" t="s">
        <v>149</v>
      </c>
      <c r="E120" s="12">
        <v>0</v>
      </c>
      <c r="G120" s="12">
        <v>555171.44</v>
      </c>
      <c r="I120" s="12">
        <v>2124.22</v>
      </c>
      <c r="K120" s="12">
        <v>20919.66</v>
      </c>
      <c r="M120" s="12">
        <v>0</v>
      </c>
      <c r="O120" s="12">
        <v>3560.93</v>
      </c>
      <c r="Q120" s="12">
        <v>19135.82</v>
      </c>
      <c r="S120" s="12">
        <v>1113.35</v>
      </c>
      <c r="U120" s="12">
        <v>445</v>
      </c>
      <c r="W120" s="12">
        <v>0</v>
      </c>
      <c r="Y120" s="12">
        <v>0</v>
      </c>
      <c r="AA120" s="12">
        <v>0</v>
      </c>
      <c r="AC120" s="12">
        <f t="shared" si="1"/>
        <v>602470.4199999999</v>
      </c>
    </row>
    <row r="121" spans="1:29" s="12" customFormat="1" ht="12">
      <c r="A121" s="12" t="s">
        <v>289</v>
      </c>
      <c r="C121" s="12" t="s">
        <v>106</v>
      </c>
      <c r="E121" s="12">
        <v>0</v>
      </c>
      <c r="G121" s="12">
        <v>508129.69</v>
      </c>
      <c r="I121" s="12">
        <v>0</v>
      </c>
      <c r="K121" s="12">
        <v>14455.33</v>
      </c>
      <c r="M121" s="12">
        <v>0</v>
      </c>
      <c r="O121" s="12">
        <v>51113.87</v>
      </c>
      <c r="Q121" s="12">
        <v>15385.35</v>
      </c>
      <c r="S121" s="12">
        <v>2356.78</v>
      </c>
      <c r="U121" s="12">
        <v>0</v>
      </c>
      <c r="W121" s="12">
        <v>0</v>
      </c>
      <c r="Y121" s="12">
        <v>0</v>
      </c>
      <c r="AA121" s="12">
        <v>0</v>
      </c>
      <c r="AC121" s="12">
        <f t="shared" si="1"/>
        <v>591441.02</v>
      </c>
    </row>
    <row r="122" spans="1:29" s="12" customFormat="1" ht="12">
      <c r="A122" s="12" t="s">
        <v>100</v>
      </c>
      <c r="C122" s="12" t="s">
        <v>101</v>
      </c>
      <c r="E122" s="12">
        <v>0</v>
      </c>
      <c r="G122" s="12">
        <v>0</v>
      </c>
      <c r="I122" s="12">
        <v>6087360</v>
      </c>
      <c r="K122" s="12">
        <v>220300</v>
      </c>
      <c r="M122" s="12">
        <v>0</v>
      </c>
      <c r="O122" s="12">
        <v>33061</v>
      </c>
      <c r="Q122" s="12">
        <v>401689</v>
      </c>
      <c r="S122" s="12">
        <v>15816</v>
      </c>
      <c r="U122" s="12">
        <v>0</v>
      </c>
      <c r="W122" s="12">
        <v>0</v>
      </c>
      <c r="Y122" s="12">
        <v>0</v>
      </c>
      <c r="AA122" s="12">
        <v>0</v>
      </c>
      <c r="AC122" s="12">
        <f t="shared" si="1"/>
        <v>6758226</v>
      </c>
    </row>
    <row r="123" spans="1:29" s="12" customFormat="1" ht="12">
      <c r="A123" s="12" t="s">
        <v>290</v>
      </c>
      <c r="C123" s="12" t="s">
        <v>147</v>
      </c>
      <c r="E123" s="12">
        <v>0</v>
      </c>
      <c r="G123" s="12">
        <v>857523.43</v>
      </c>
      <c r="I123" s="12">
        <v>0</v>
      </c>
      <c r="K123" s="12">
        <v>24347.79</v>
      </c>
      <c r="M123" s="12">
        <v>0</v>
      </c>
      <c r="O123" s="12">
        <v>1943</v>
      </c>
      <c r="Q123" s="12">
        <v>129120.8</v>
      </c>
      <c r="S123" s="12">
        <v>4332.78</v>
      </c>
      <c r="U123" s="12">
        <v>0</v>
      </c>
      <c r="W123" s="12">
        <v>0</v>
      </c>
      <c r="Y123" s="12">
        <v>0</v>
      </c>
      <c r="AA123" s="12">
        <v>0</v>
      </c>
      <c r="AC123" s="12">
        <f t="shared" si="1"/>
        <v>1017267.8000000002</v>
      </c>
    </row>
    <row r="124" spans="1:29" s="12" customFormat="1" ht="12">
      <c r="A124" s="12" t="s">
        <v>291</v>
      </c>
      <c r="C124" s="12" t="s">
        <v>144</v>
      </c>
      <c r="E124" s="12">
        <v>0</v>
      </c>
      <c r="G124" s="12">
        <v>315956.5</v>
      </c>
      <c r="I124" s="12">
        <v>0</v>
      </c>
      <c r="K124" s="12">
        <v>7754.76</v>
      </c>
      <c r="M124" s="12">
        <v>0</v>
      </c>
      <c r="O124" s="12">
        <v>500</v>
      </c>
      <c r="Q124" s="12">
        <v>28955.64</v>
      </c>
      <c r="S124" s="12">
        <v>1753.12</v>
      </c>
      <c r="U124" s="12">
        <v>0</v>
      </c>
      <c r="W124" s="12">
        <v>0</v>
      </c>
      <c r="Y124" s="12">
        <v>0</v>
      </c>
      <c r="AA124" s="12">
        <v>0</v>
      </c>
      <c r="AC124" s="12">
        <f t="shared" si="1"/>
        <v>354920.02</v>
      </c>
    </row>
    <row r="125" spans="1:29" s="12" customFormat="1" ht="12">
      <c r="A125" s="12" t="s">
        <v>292</v>
      </c>
      <c r="C125" s="12" t="s">
        <v>144</v>
      </c>
      <c r="E125" s="12">
        <v>0</v>
      </c>
      <c r="G125" s="12">
        <v>592701.07</v>
      </c>
      <c r="I125" s="12">
        <v>0</v>
      </c>
      <c r="K125" s="12">
        <v>8837.73</v>
      </c>
      <c r="M125" s="12">
        <v>0</v>
      </c>
      <c r="O125" s="12">
        <v>69310.83</v>
      </c>
      <c r="Q125" s="12">
        <v>60457.22</v>
      </c>
      <c r="S125" s="12">
        <v>6786.17</v>
      </c>
      <c r="U125" s="12">
        <v>0</v>
      </c>
      <c r="W125" s="12">
        <v>0</v>
      </c>
      <c r="Y125" s="12">
        <v>0</v>
      </c>
      <c r="AA125" s="12">
        <v>0</v>
      </c>
      <c r="AC125" s="12">
        <f t="shared" si="1"/>
        <v>738093.0199999999</v>
      </c>
    </row>
    <row r="126" spans="1:29" s="12" customFormat="1" ht="12">
      <c r="A126" s="12" t="s">
        <v>293</v>
      </c>
      <c r="C126" s="12" t="s">
        <v>153</v>
      </c>
      <c r="E126" s="12">
        <v>0</v>
      </c>
      <c r="G126" s="12">
        <v>179131.36</v>
      </c>
      <c r="I126" s="12">
        <v>0</v>
      </c>
      <c r="K126" s="12">
        <v>6045.22</v>
      </c>
      <c r="M126" s="12">
        <v>1141.37</v>
      </c>
      <c r="O126" s="12">
        <v>9326.62</v>
      </c>
      <c r="Q126" s="12">
        <v>2554.3</v>
      </c>
      <c r="S126" s="12">
        <v>955.44</v>
      </c>
      <c r="U126" s="12">
        <v>0</v>
      </c>
      <c r="W126" s="12">
        <v>0</v>
      </c>
      <c r="Y126" s="12">
        <v>0</v>
      </c>
      <c r="AA126" s="12">
        <v>115717.68</v>
      </c>
      <c r="AC126" s="12">
        <f t="shared" si="1"/>
        <v>314871.99</v>
      </c>
    </row>
    <row r="127" spans="1:29" s="12" customFormat="1" ht="12">
      <c r="A127" s="12" t="s">
        <v>294</v>
      </c>
      <c r="C127" s="12" t="s">
        <v>194</v>
      </c>
      <c r="E127" s="12">
        <v>3685707</v>
      </c>
      <c r="G127" s="12">
        <v>0</v>
      </c>
      <c r="I127" s="12">
        <v>0</v>
      </c>
      <c r="K127" s="12">
        <v>80518</v>
      </c>
      <c r="M127" s="12">
        <f>6062+12302</f>
        <v>18364</v>
      </c>
      <c r="O127" s="12">
        <v>13120</v>
      </c>
      <c r="Q127" s="12">
        <v>133665</v>
      </c>
      <c r="S127" s="12">
        <v>8886</v>
      </c>
      <c r="U127" s="12">
        <v>0</v>
      </c>
      <c r="W127" s="12">
        <v>0</v>
      </c>
      <c r="Y127" s="12">
        <v>0</v>
      </c>
      <c r="AA127" s="12">
        <v>0</v>
      </c>
      <c r="AC127" s="12">
        <f t="shared" si="1"/>
        <v>3940260</v>
      </c>
    </row>
    <row r="128" spans="1:29" s="12" customFormat="1" ht="12">
      <c r="A128" s="12" t="s">
        <v>295</v>
      </c>
      <c r="C128" s="12" t="s">
        <v>183</v>
      </c>
      <c r="E128" s="12">
        <v>0</v>
      </c>
      <c r="G128" s="12">
        <v>1486372</v>
      </c>
      <c r="I128" s="12">
        <v>0</v>
      </c>
      <c r="K128" s="12">
        <v>41988</v>
      </c>
      <c r="M128" s="12">
        <v>0</v>
      </c>
      <c r="O128" s="12">
        <v>2674</v>
      </c>
      <c r="Q128" s="12">
        <f>35361+60539+2022</f>
        <v>97922</v>
      </c>
      <c r="S128" s="12">
        <v>2724</v>
      </c>
      <c r="U128" s="12">
        <v>0</v>
      </c>
      <c r="W128" s="12">
        <v>0</v>
      </c>
      <c r="Y128" s="12">
        <v>0</v>
      </c>
      <c r="AA128" s="12">
        <v>0</v>
      </c>
      <c r="AC128" s="12">
        <f t="shared" si="1"/>
        <v>1631680</v>
      </c>
    </row>
    <row r="129" spans="1:29" s="12" customFormat="1" ht="12">
      <c r="A129" s="12" t="s">
        <v>296</v>
      </c>
      <c r="C129" s="12" t="s">
        <v>297</v>
      </c>
      <c r="E129" s="12">
        <v>0</v>
      </c>
      <c r="G129" s="12">
        <v>1003084</v>
      </c>
      <c r="I129" s="12">
        <v>0</v>
      </c>
      <c r="K129" s="12">
        <v>37425</v>
      </c>
      <c r="M129" s="12">
        <v>0</v>
      </c>
      <c r="O129" s="12">
        <v>1350</v>
      </c>
      <c r="Q129" s="12">
        <v>102488</v>
      </c>
      <c r="S129" s="12">
        <v>35132</v>
      </c>
      <c r="U129" s="12">
        <v>0</v>
      </c>
      <c r="W129" s="12">
        <v>0</v>
      </c>
      <c r="Y129" s="12">
        <v>0</v>
      </c>
      <c r="AA129" s="12">
        <v>0</v>
      </c>
      <c r="AC129" s="12">
        <f t="shared" si="1"/>
        <v>1179479</v>
      </c>
    </row>
    <row r="130" spans="1:29" s="12" customFormat="1" ht="12">
      <c r="A130" s="12" t="s">
        <v>102</v>
      </c>
      <c r="C130" s="12" t="s">
        <v>103</v>
      </c>
      <c r="E130" s="12">
        <v>297347</v>
      </c>
      <c r="G130" s="12">
        <v>0</v>
      </c>
      <c r="I130" s="12">
        <v>608299</v>
      </c>
      <c r="K130" s="12">
        <v>23004</v>
      </c>
      <c r="M130" s="12">
        <v>0</v>
      </c>
      <c r="O130" s="12">
        <v>1395</v>
      </c>
      <c r="Q130" s="12">
        <v>47200</v>
      </c>
      <c r="S130" s="12">
        <v>4356</v>
      </c>
      <c r="U130" s="12">
        <v>0</v>
      </c>
      <c r="W130" s="12">
        <v>147300</v>
      </c>
      <c r="Y130" s="12">
        <v>0</v>
      </c>
      <c r="AA130" s="12">
        <v>5000</v>
      </c>
      <c r="AC130" s="12">
        <f t="shared" si="1"/>
        <v>1133901</v>
      </c>
    </row>
    <row r="131" spans="1:29" s="12" customFormat="1" ht="12">
      <c r="A131" s="12" t="s">
        <v>298</v>
      </c>
      <c r="C131" s="12" t="s">
        <v>150</v>
      </c>
      <c r="E131" s="12">
        <v>3695360</v>
      </c>
      <c r="G131" s="12">
        <v>4583965</v>
      </c>
      <c r="I131" s="12">
        <v>0</v>
      </c>
      <c r="K131" s="12">
        <v>146700</v>
      </c>
      <c r="M131" s="12">
        <v>13476</v>
      </c>
      <c r="O131" s="12">
        <v>148440</v>
      </c>
      <c r="Q131" s="12">
        <v>400900</v>
      </c>
      <c r="S131" s="12">
        <v>17945</v>
      </c>
      <c r="U131" s="12">
        <v>0</v>
      </c>
      <c r="W131" s="12">
        <v>1064038</v>
      </c>
      <c r="Y131" s="12">
        <v>0</v>
      </c>
      <c r="AA131" s="12">
        <v>0</v>
      </c>
      <c r="AC131" s="12">
        <f t="shared" si="1"/>
        <v>10070824</v>
      </c>
    </row>
    <row r="132" spans="1:29" s="12" customFormat="1" ht="12">
      <c r="A132" s="12" t="s">
        <v>299</v>
      </c>
      <c r="C132" s="12" t="s">
        <v>177</v>
      </c>
      <c r="E132" s="12">
        <v>7062</v>
      </c>
      <c r="G132" s="12">
        <v>693771</v>
      </c>
      <c r="I132" s="12">
        <v>0</v>
      </c>
      <c r="K132" s="12">
        <v>17717</v>
      </c>
      <c r="M132" s="12">
        <v>342</v>
      </c>
      <c r="O132" s="12">
        <v>41569</v>
      </c>
      <c r="Q132" s="12">
        <v>15850</v>
      </c>
      <c r="S132" s="12">
        <v>3474</v>
      </c>
      <c r="U132" s="12">
        <v>0</v>
      </c>
      <c r="W132" s="12">
        <v>0</v>
      </c>
      <c r="Y132" s="12">
        <v>0</v>
      </c>
      <c r="AA132" s="12">
        <v>0</v>
      </c>
      <c r="AC132" s="12">
        <f t="shared" si="1"/>
        <v>779785</v>
      </c>
    </row>
    <row r="133" spans="1:29" s="12" customFormat="1" ht="12">
      <c r="A133" s="12" t="s">
        <v>300</v>
      </c>
      <c r="C133" s="12" t="s">
        <v>116</v>
      </c>
      <c r="E133" s="12">
        <v>700147</v>
      </c>
      <c r="G133" s="12">
        <v>0</v>
      </c>
      <c r="I133" s="12">
        <v>0</v>
      </c>
      <c r="K133" s="12">
        <v>20176</v>
      </c>
      <c r="M133" s="12">
        <v>9579</v>
      </c>
      <c r="O133" s="12">
        <v>421</v>
      </c>
      <c r="Q133" s="12">
        <v>32410</v>
      </c>
      <c r="S133" s="12">
        <v>15528</v>
      </c>
      <c r="U133" s="12">
        <v>43</v>
      </c>
      <c r="W133" s="12">
        <v>0</v>
      </c>
      <c r="Y133" s="12">
        <v>0</v>
      </c>
      <c r="AA133" s="12">
        <v>0</v>
      </c>
      <c r="AC133" s="12">
        <f t="shared" si="1"/>
        <v>778304</v>
      </c>
    </row>
    <row r="134" spans="1:29" s="12" customFormat="1" ht="12">
      <c r="A134" s="12" t="s">
        <v>301</v>
      </c>
      <c r="C134" s="12" t="s">
        <v>106</v>
      </c>
      <c r="E134" s="12">
        <v>277366</v>
      </c>
      <c r="G134" s="12">
        <v>786360</v>
      </c>
      <c r="I134" s="12">
        <v>30026</v>
      </c>
      <c r="K134" s="12">
        <v>33556</v>
      </c>
      <c r="M134" s="12">
        <v>0</v>
      </c>
      <c r="O134" s="12">
        <v>6225</v>
      </c>
      <c r="Q134" s="12">
        <v>77941</v>
      </c>
      <c r="S134" s="12">
        <v>350</v>
      </c>
      <c r="U134" s="12">
        <v>0</v>
      </c>
      <c r="W134" s="12">
        <v>0</v>
      </c>
      <c r="Y134" s="12">
        <v>0</v>
      </c>
      <c r="AA134" s="12">
        <v>0</v>
      </c>
      <c r="AC134" s="12">
        <f t="shared" si="1"/>
        <v>1211824</v>
      </c>
    </row>
    <row r="135" spans="1:29" s="12" customFormat="1" ht="12">
      <c r="A135" s="12" t="s">
        <v>302</v>
      </c>
      <c r="C135" s="12" t="s">
        <v>303</v>
      </c>
      <c r="E135" s="12">
        <v>3504657</v>
      </c>
      <c r="G135" s="12">
        <v>4487369</v>
      </c>
      <c r="I135" s="12">
        <v>322779</v>
      </c>
      <c r="K135" s="12">
        <v>213522</v>
      </c>
      <c r="M135" s="12">
        <v>0</v>
      </c>
      <c r="O135" s="12">
        <v>25654</v>
      </c>
      <c r="Q135" s="12">
        <v>235033</v>
      </c>
      <c r="S135" s="12">
        <v>184051</v>
      </c>
      <c r="U135" s="12">
        <v>0</v>
      </c>
      <c r="W135" s="12">
        <v>380000</v>
      </c>
      <c r="Y135" s="12">
        <v>0</v>
      </c>
      <c r="AA135" s="12">
        <v>0</v>
      </c>
      <c r="AC135" s="12">
        <f t="shared" si="1"/>
        <v>9353065</v>
      </c>
    </row>
    <row r="136" s="12" customFormat="1" ht="12">
      <c r="AC136" s="27" t="s">
        <v>98</v>
      </c>
    </row>
    <row r="137" spans="1:29" s="26" customFormat="1" ht="12">
      <c r="A137" s="26" t="s">
        <v>304</v>
      </c>
      <c r="C137" s="26" t="s">
        <v>201</v>
      </c>
      <c r="E137" s="26">
        <v>0</v>
      </c>
      <c r="G137" s="26">
        <v>61237.94</v>
      </c>
      <c r="I137" s="26">
        <v>0</v>
      </c>
      <c r="K137" s="26">
        <v>914.78</v>
      </c>
      <c r="M137" s="26">
        <v>0</v>
      </c>
      <c r="O137" s="26">
        <v>0</v>
      </c>
      <c r="Q137" s="26">
        <v>5873.89</v>
      </c>
      <c r="S137" s="26">
        <v>0</v>
      </c>
      <c r="U137" s="26">
        <v>88</v>
      </c>
      <c r="W137" s="26">
        <v>0</v>
      </c>
      <c r="Y137" s="26">
        <v>0</v>
      </c>
      <c r="AA137" s="26">
        <v>0</v>
      </c>
      <c r="AC137" s="26">
        <f aca="true" t="shared" si="2" ref="AC137:AC165">SUM(E137:AA137)</f>
        <v>68114.61</v>
      </c>
    </row>
    <row r="138" spans="1:29" s="12" customFormat="1" ht="12">
      <c r="A138" s="12" t="s">
        <v>305</v>
      </c>
      <c r="C138" s="12" t="s">
        <v>306</v>
      </c>
      <c r="E138" s="12">
        <v>0</v>
      </c>
      <c r="G138" s="12">
        <v>2446308</v>
      </c>
      <c r="I138" s="12">
        <v>94178</v>
      </c>
      <c r="K138" s="12">
        <v>0</v>
      </c>
      <c r="M138" s="12">
        <v>0</v>
      </c>
      <c r="O138" s="12">
        <v>5139</v>
      </c>
      <c r="Q138" s="12">
        <f>59575+58927</f>
        <v>118502</v>
      </c>
      <c r="S138" s="12">
        <v>12022</v>
      </c>
      <c r="U138" s="12">
        <v>0</v>
      </c>
      <c r="W138" s="12">
        <v>0</v>
      </c>
      <c r="Y138" s="12">
        <v>0</v>
      </c>
      <c r="AA138" s="12">
        <v>0</v>
      </c>
      <c r="AC138" s="12">
        <f t="shared" si="2"/>
        <v>2676149</v>
      </c>
    </row>
    <row r="139" spans="1:29" s="12" customFormat="1" ht="12">
      <c r="A139" s="11" t="s">
        <v>600</v>
      </c>
      <c r="B139" s="11"/>
      <c r="C139" s="11" t="s">
        <v>104</v>
      </c>
      <c r="E139" s="12">
        <v>0</v>
      </c>
      <c r="G139" s="12">
        <v>0</v>
      </c>
      <c r="I139" s="12">
        <v>1162484</v>
      </c>
      <c r="K139" s="12">
        <v>31720</v>
      </c>
      <c r="M139" s="12">
        <v>0</v>
      </c>
      <c r="O139" s="12">
        <v>297420</v>
      </c>
      <c r="Q139" s="12">
        <v>12521</v>
      </c>
      <c r="S139" s="12">
        <f>445+20+9433</f>
        <v>9898</v>
      </c>
      <c r="U139" s="12">
        <v>0</v>
      </c>
      <c r="W139" s="12">
        <v>7000</v>
      </c>
      <c r="Y139" s="12">
        <v>0</v>
      </c>
      <c r="AA139" s="12">
        <v>0</v>
      </c>
      <c r="AC139" s="12">
        <f t="shared" si="2"/>
        <v>1521043</v>
      </c>
    </row>
    <row r="140" spans="1:29" s="12" customFormat="1" ht="12">
      <c r="A140" s="12" t="s">
        <v>307</v>
      </c>
      <c r="C140" s="12" t="s">
        <v>303</v>
      </c>
      <c r="E140" s="12">
        <v>0</v>
      </c>
      <c r="G140" s="12">
        <v>540289.47</v>
      </c>
      <c r="I140" s="12">
        <v>500</v>
      </c>
      <c r="K140" s="12">
        <v>24017.67</v>
      </c>
      <c r="M140" s="12">
        <v>0</v>
      </c>
      <c r="O140" s="12">
        <v>27563.34</v>
      </c>
      <c r="Q140" s="12">
        <v>66760.66</v>
      </c>
      <c r="S140" s="12">
        <v>3328.08</v>
      </c>
      <c r="U140" s="12">
        <v>2000</v>
      </c>
      <c r="W140" s="12">
        <v>10000</v>
      </c>
      <c r="Y140" s="12">
        <v>0</v>
      </c>
      <c r="AA140" s="12">
        <v>0</v>
      </c>
      <c r="AC140" s="12">
        <f t="shared" si="2"/>
        <v>674459.22</v>
      </c>
    </row>
    <row r="141" spans="1:29" s="12" customFormat="1" ht="12">
      <c r="A141" s="12" t="s">
        <v>308</v>
      </c>
      <c r="C141" s="12" t="s">
        <v>147</v>
      </c>
      <c r="E141" s="12">
        <v>0</v>
      </c>
      <c r="G141" s="12">
        <v>694120.92</v>
      </c>
      <c r="I141" s="12">
        <v>2530</v>
      </c>
      <c r="K141" s="12">
        <v>17536.35</v>
      </c>
      <c r="M141" s="12">
        <v>0</v>
      </c>
      <c r="O141" s="12">
        <v>7040.62</v>
      </c>
      <c r="Q141" s="12">
        <v>30483.78</v>
      </c>
      <c r="S141" s="12">
        <v>4804.97</v>
      </c>
      <c r="U141" s="12">
        <v>0</v>
      </c>
      <c r="W141" s="12">
        <v>0</v>
      </c>
      <c r="Y141" s="12">
        <v>0</v>
      </c>
      <c r="AA141" s="12">
        <v>0</v>
      </c>
      <c r="AC141" s="12">
        <f t="shared" si="2"/>
        <v>756516.64</v>
      </c>
    </row>
    <row r="142" spans="1:29" s="12" customFormat="1" ht="12">
      <c r="A142" s="12" t="s">
        <v>309</v>
      </c>
      <c r="C142" s="12" t="s">
        <v>154</v>
      </c>
      <c r="E142" s="12">
        <v>0</v>
      </c>
      <c r="G142" s="12">
        <v>556964.41</v>
      </c>
      <c r="I142" s="12">
        <v>0</v>
      </c>
      <c r="K142" s="12">
        <v>21844.03</v>
      </c>
      <c r="M142" s="12">
        <v>0</v>
      </c>
      <c r="O142" s="12">
        <v>9768.29</v>
      </c>
      <c r="Q142" s="12">
        <v>168071.67</v>
      </c>
      <c r="S142" s="12">
        <v>24248.74</v>
      </c>
      <c r="U142" s="12">
        <v>0</v>
      </c>
      <c r="W142" s="12">
        <v>223572.24</v>
      </c>
      <c r="Y142" s="12">
        <v>0</v>
      </c>
      <c r="AA142" s="12">
        <v>0</v>
      </c>
      <c r="AC142" s="12">
        <f t="shared" si="2"/>
        <v>1004469.3800000001</v>
      </c>
    </row>
    <row r="143" spans="1:29" s="12" customFormat="1" ht="12">
      <c r="A143" s="12" t="s">
        <v>310</v>
      </c>
      <c r="C143" s="12" t="s">
        <v>311</v>
      </c>
      <c r="E143" s="12">
        <v>746548</v>
      </c>
      <c r="G143" s="12">
        <v>752740</v>
      </c>
      <c r="I143" s="12">
        <v>0</v>
      </c>
      <c r="K143" s="12">
        <v>48991</v>
      </c>
      <c r="M143" s="12">
        <v>0</v>
      </c>
      <c r="O143" s="12">
        <v>65814</v>
      </c>
      <c r="Q143" s="12">
        <v>33551</v>
      </c>
      <c r="S143" s="12">
        <v>5075</v>
      </c>
      <c r="U143" s="12">
        <v>0</v>
      </c>
      <c r="W143" s="12">
        <v>322000</v>
      </c>
      <c r="Y143" s="12">
        <v>0</v>
      </c>
      <c r="AA143" s="12">
        <v>0</v>
      </c>
      <c r="AC143" s="12">
        <f t="shared" si="2"/>
        <v>1974719</v>
      </c>
    </row>
    <row r="144" spans="1:29" s="3" customFormat="1" ht="12">
      <c r="A144" s="3" t="s">
        <v>312</v>
      </c>
      <c r="C144" s="3" t="s">
        <v>147</v>
      </c>
      <c r="E144" s="3">
        <v>0</v>
      </c>
      <c r="G144" s="3">
        <v>1170272.89</v>
      </c>
      <c r="I144" s="3">
        <v>0</v>
      </c>
      <c r="K144" s="3">
        <v>48342.42</v>
      </c>
      <c r="M144" s="3">
        <v>0</v>
      </c>
      <c r="O144" s="3">
        <v>9180</v>
      </c>
      <c r="Q144" s="3">
        <v>89308.78</v>
      </c>
      <c r="S144" s="3">
        <v>540.88</v>
      </c>
      <c r="U144" s="3">
        <v>0</v>
      </c>
      <c r="W144" s="3">
        <v>0</v>
      </c>
      <c r="Y144" s="3">
        <v>0</v>
      </c>
      <c r="AA144" s="3">
        <v>0</v>
      </c>
      <c r="AC144" s="3">
        <f t="shared" si="2"/>
        <v>1317644.9699999997</v>
      </c>
    </row>
    <row r="145" spans="1:29" s="3" customFormat="1" ht="12">
      <c r="A145" s="3" t="s">
        <v>313</v>
      </c>
      <c r="C145" s="3" t="s">
        <v>116</v>
      </c>
      <c r="E145" s="3">
        <v>0</v>
      </c>
      <c r="G145" s="3">
        <v>1631046</v>
      </c>
      <c r="I145" s="3">
        <v>0</v>
      </c>
      <c r="K145" s="3">
        <v>75279</v>
      </c>
      <c r="M145" s="3">
        <v>0</v>
      </c>
      <c r="O145" s="3">
        <v>175779</v>
      </c>
      <c r="Q145" s="3">
        <v>53277</v>
      </c>
      <c r="S145" s="3">
        <v>4587</v>
      </c>
      <c r="U145" s="3">
        <v>0</v>
      </c>
      <c r="W145" s="3">
        <v>74221</v>
      </c>
      <c r="Y145" s="3">
        <v>0</v>
      </c>
      <c r="AA145" s="3">
        <v>0</v>
      </c>
      <c r="AC145" s="3">
        <f t="shared" si="2"/>
        <v>2014189</v>
      </c>
    </row>
    <row r="146" spans="1:29" s="3" customFormat="1" ht="12">
      <c r="A146" s="3" t="s">
        <v>314</v>
      </c>
      <c r="C146" s="3" t="s">
        <v>244</v>
      </c>
      <c r="E146" s="3">
        <v>0</v>
      </c>
      <c r="G146" s="3">
        <v>313937.28</v>
      </c>
      <c r="I146" s="3">
        <v>0</v>
      </c>
      <c r="K146" s="3">
        <v>7903.83</v>
      </c>
      <c r="M146" s="3">
        <v>0</v>
      </c>
      <c r="O146" s="3">
        <v>1875.75</v>
      </c>
      <c r="Q146" s="3">
        <v>1362.83</v>
      </c>
      <c r="S146" s="3">
        <v>416.16</v>
      </c>
      <c r="U146" s="3">
        <v>0</v>
      </c>
      <c r="W146" s="3">
        <v>0</v>
      </c>
      <c r="Y146" s="3">
        <v>0</v>
      </c>
      <c r="AA146" s="3">
        <v>0</v>
      </c>
      <c r="AC146" s="3">
        <f t="shared" si="2"/>
        <v>325495.85000000003</v>
      </c>
    </row>
    <row r="147" spans="1:29" s="3" customFormat="1" ht="12">
      <c r="A147" s="3" t="s">
        <v>315</v>
      </c>
      <c r="C147" s="3" t="s">
        <v>155</v>
      </c>
      <c r="E147" s="3">
        <v>0</v>
      </c>
      <c r="G147" s="3">
        <v>311660.35</v>
      </c>
      <c r="I147" s="3">
        <v>0</v>
      </c>
      <c r="K147" s="3">
        <v>7513.17</v>
      </c>
      <c r="M147" s="3">
        <v>0</v>
      </c>
      <c r="O147" s="3">
        <v>15244.03</v>
      </c>
      <c r="Q147" s="3">
        <v>21888.23</v>
      </c>
      <c r="S147" s="3">
        <v>268.2</v>
      </c>
      <c r="U147" s="3">
        <v>0</v>
      </c>
      <c r="W147" s="3">
        <v>222877.88</v>
      </c>
      <c r="Y147" s="3">
        <v>0</v>
      </c>
      <c r="AA147" s="3">
        <v>0</v>
      </c>
      <c r="AC147" s="3">
        <f t="shared" si="2"/>
        <v>579451.86</v>
      </c>
    </row>
    <row r="148" spans="1:29" s="3" customFormat="1" ht="12">
      <c r="A148" s="3" t="s">
        <v>316</v>
      </c>
      <c r="C148" s="3" t="s">
        <v>111</v>
      </c>
      <c r="E148" s="3">
        <v>6313814</v>
      </c>
      <c r="G148" s="3">
        <v>3879829</v>
      </c>
      <c r="I148" s="3">
        <v>0</v>
      </c>
      <c r="K148" s="3">
        <v>128069</v>
      </c>
      <c r="M148" s="3">
        <v>0</v>
      </c>
      <c r="O148" s="3">
        <v>76415</v>
      </c>
      <c r="Q148" s="3">
        <v>1725547</v>
      </c>
      <c r="S148" s="3">
        <v>105534</v>
      </c>
      <c r="U148" s="3">
        <v>0</v>
      </c>
      <c r="W148" s="3">
        <v>0</v>
      </c>
      <c r="Y148" s="3">
        <v>0</v>
      </c>
      <c r="AA148" s="3">
        <v>0</v>
      </c>
      <c r="AC148" s="3">
        <f t="shared" si="2"/>
        <v>12229208</v>
      </c>
    </row>
    <row r="149" spans="1:60" s="34" customFormat="1" ht="12.75">
      <c r="A149" s="11" t="s">
        <v>604</v>
      </c>
      <c r="B149" s="11"/>
      <c r="C149" s="12" t="s">
        <v>603</v>
      </c>
      <c r="D149" s="3"/>
      <c r="E149" s="3">
        <v>874087.19</v>
      </c>
      <c r="F149" s="3"/>
      <c r="G149" s="3">
        <v>0</v>
      </c>
      <c r="H149" s="3"/>
      <c r="I149" s="3">
        <v>17271.79</v>
      </c>
      <c r="J149" s="3"/>
      <c r="K149" s="3">
        <v>0</v>
      </c>
      <c r="L149" s="3"/>
      <c r="M149" s="3">
        <v>1551.83</v>
      </c>
      <c r="N149" s="3"/>
      <c r="O149" s="3">
        <v>37948.14</v>
      </c>
      <c r="P149" s="3"/>
      <c r="Q149" s="3">
        <v>24899.59</v>
      </c>
      <c r="R149" s="3"/>
      <c r="S149" s="3">
        <v>0</v>
      </c>
      <c r="T149" s="3"/>
      <c r="U149" s="3">
        <v>150000</v>
      </c>
      <c r="V149" s="3"/>
      <c r="W149" s="3">
        <v>0</v>
      </c>
      <c r="X149" s="3"/>
      <c r="Y149" s="3">
        <v>0</v>
      </c>
      <c r="Z149" s="3"/>
      <c r="AA149"/>
      <c r="AB149" s="32"/>
      <c r="AC149" s="3">
        <f t="shared" si="2"/>
        <v>1105758.54</v>
      </c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</row>
    <row r="150" spans="1:29" s="3" customFormat="1" ht="12">
      <c r="A150" s="3" t="s">
        <v>105</v>
      </c>
      <c r="C150" s="3" t="s">
        <v>106</v>
      </c>
      <c r="E150" s="3">
        <v>980133</v>
      </c>
      <c r="G150" s="3">
        <v>2004884</v>
      </c>
      <c r="I150" s="3">
        <v>0</v>
      </c>
      <c r="K150" s="3">
        <v>92272</v>
      </c>
      <c r="M150" s="3">
        <v>0</v>
      </c>
      <c r="O150" s="3">
        <v>40409</v>
      </c>
      <c r="Q150" s="3">
        <v>32802</v>
      </c>
      <c r="S150" s="3">
        <v>3511</v>
      </c>
      <c r="U150" s="3">
        <v>1350</v>
      </c>
      <c r="W150" s="3">
        <v>114331</v>
      </c>
      <c r="Y150" s="3">
        <v>0</v>
      </c>
      <c r="AA150" s="3">
        <v>0</v>
      </c>
      <c r="AC150" s="3">
        <f t="shared" si="2"/>
        <v>3269692</v>
      </c>
    </row>
    <row r="151" spans="1:29" s="3" customFormat="1" ht="12">
      <c r="A151" s="3" t="s">
        <v>317</v>
      </c>
      <c r="C151" s="3" t="s">
        <v>143</v>
      </c>
      <c r="E151" s="3">
        <v>0</v>
      </c>
      <c r="G151" s="3">
        <v>965177</v>
      </c>
      <c r="I151" s="3">
        <v>0</v>
      </c>
      <c r="K151" s="3">
        <v>11064</v>
      </c>
      <c r="M151" s="3">
        <v>0</v>
      </c>
      <c r="O151" s="3">
        <v>3506</v>
      </c>
      <c r="Q151" s="3">
        <f>11427+3566+75</f>
        <v>15068</v>
      </c>
      <c r="S151" s="3">
        <f>1220+4203</f>
        <v>5423</v>
      </c>
      <c r="U151" s="3">
        <v>0</v>
      </c>
      <c r="W151" s="3">
        <v>100000</v>
      </c>
      <c r="Y151" s="3">
        <v>0</v>
      </c>
      <c r="AA151" s="3">
        <v>0</v>
      </c>
      <c r="AC151" s="3">
        <f t="shared" si="2"/>
        <v>1100238</v>
      </c>
    </row>
    <row r="152" spans="1:29" s="3" customFormat="1" ht="12">
      <c r="A152" s="3" t="s">
        <v>318</v>
      </c>
      <c r="C152" s="3" t="s">
        <v>101</v>
      </c>
      <c r="E152" s="3">
        <v>0</v>
      </c>
      <c r="G152" s="3">
        <v>5481189</v>
      </c>
      <c r="I152" s="3">
        <v>0</v>
      </c>
      <c r="K152" s="3">
        <v>229040</v>
      </c>
      <c r="M152" s="3">
        <v>20303</v>
      </c>
      <c r="O152" s="3">
        <v>15289</v>
      </c>
      <c r="Q152" s="3">
        <v>273297</v>
      </c>
      <c r="S152" s="3">
        <v>19634</v>
      </c>
      <c r="U152" s="3">
        <v>0</v>
      </c>
      <c r="W152" s="3">
        <v>250000</v>
      </c>
      <c r="Y152" s="3">
        <v>0</v>
      </c>
      <c r="AA152" s="3">
        <v>0</v>
      </c>
      <c r="AC152" s="3">
        <f t="shared" si="2"/>
        <v>6288752</v>
      </c>
    </row>
    <row r="153" spans="1:29" s="3" customFormat="1" ht="12">
      <c r="A153" s="3" t="s">
        <v>319</v>
      </c>
      <c r="C153" s="3" t="s">
        <v>278</v>
      </c>
      <c r="E153" s="3">
        <v>0</v>
      </c>
      <c r="G153" s="3">
        <v>419552.53</v>
      </c>
      <c r="I153" s="3">
        <v>19038.68</v>
      </c>
      <c r="K153" s="3">
        <v>18787.1</v>
      </c>
      <c r="M153" s="3">
        <v>1212.3</v>
      </c>
      <c r="O153" s="3">
        <v>3017.25</v>
      </c>
      <c r="Q153" s="3">
        <v>143740.72</v>
      </c>
      <c r="S153" s="3">
        <v>346.83</v>
      </c>
      <c r="U153" s="3">
        <v>0</v>
      </c>
      <c r="W153" s="3">
        <v>0</v>
      </c>
      <c r="Y153" s="3">
        <v>0</v>
      </c>
      <c r="AA153" s="3">
        <v>0</v>
      </c>
      <c r="AC153" s="3">
        <f t="shared" si="2"/>
        <v>605695.4099999999</v>
      </c>
    </row>
    <row r="154" spans="1:29" s="3" customFormat="1" ht="12">
      <c r="A154" s="3" t="s">
        <v>320</v>
      </c>
      <c r="C154" s="3" t="s">
        <v>146</v>
      </c>
      <c r="E154" s="3">
        <v>0</v>
      </c>
      <c r="G154" s="3">
        <v>425860.06</v>
      </c>
      <c r="I154" s="3">
        <v>0</v>
      </c>
      <c r="K154" s="3">
        <v>12252.57</v>
      </c>
      <c r="M154" s="3">
        <v>0</v>
      </c>
      <c r="O154" s="3">
        <v>78484.04</v>
      </c>
      <c r="Q154" s="3">
        <v>16640.42</v>
      </c>
      <c r="S154" s="3">
        <v>15802.85</v>
      </c>
      <c r="U154" s="3">
        <v>0</v>
      </c>
      <c r="W154" s="3">
        <v>0</v>
      </c>
      <c r="Y154" s="3">
        <v>0</v>
      </c>
      <c r="AA154" s="3">
        <v>0</v>
      </c>
      <c r="AC154" s="3">
        <f t="shared" si="2"/>
        <v>549039.94</v>
      </c>
    </row>
    <row r="155" spans="1:29" s="3" customFormat="1" ht="12">
      <c r="A155" s="3" t="s">
        <v>321</v>
      </c>
      <c r="C155" s="3" t="s">
        <v>116</v>
      </c>
      <c r="E155" s="3">
        <v>0</v>
      </c>
      <c r="G155" s="3">
        <v>823984.86</v>
      </c>
      <c r="I155" s="3">
        <v>0</v>
      </c>
      <c r="K155" s="3">
        <v>23002.54</v>
      </c>
      <c r="M155" s="3">
        <v>0</v>
      </c>
      <c r="O155" s="3">
        <v>5757.94</v>
      </c>
      <c r="Q155" s="3">
        <v>5253.54</v>
      </c>
      <c r="S155" s="3">
        <v>2772.52</v>
      </c>
      <c r="U155" s="3">
        <v>0</v>
      </c>
      <c r="W155" s="3">
        <v>0</v>
      </c>
      <c r="Y155" s="3">
        <v>0</v>
      </c>
      <c r="AA155" s="3">
        <v>0</v>
      </c>
      <c r="AC155" s="3">
        <f t="shared" si="2"/>
        <v>860771.4</v>
      </c>
    </row>
    <row r="156" spans="1:29" s="3" customFormat="1" ht="12">
      <c r="A156" s="3" t="s">
        <v>322</v>
      </c>
      <c r="C156" s="3" t="s">
        <v>156</v>
      </c>
      <c r="E156" s="3">
        <v>0</v>
      </c>
      <c r="G156" s="3">
        <v>226001.35</v>
      </c>
      <c r="I156" s="3">
        <v>0</v>
      </c>
      <c r="K156" s="3">
        <v>8804.02</v>
      </c>
      <c r="M156" s="3">
        <v>0</v>
      </c>
      <c r="O156" s="3">
        <v>7807.89</v>
      </c>
      <c r="Q156" s="3">
        <v>1255.1</v>
      </c>
      <c r="S156" s="3">
        <v>718.66</v>
      </c>
      <c r="U156" s="3">
        <v>0</v>
      </c>
      <c r="W156" s="3">
        <v>1986.18</v>
      </c>
      <c r="Y156" s="3">
        <v>0</v>
      </c>
      <c r="AA156" s="3">
        <v>0</v>
      </c>
      <c r="AC156" s="3">
        <f t="shared" si="2"/>
        <v>246573.2</v>
      </c>
    </row>
    <row r="157" spans="1:29" s="3" customFormat="1" ht="12">
      <c r="A157" s="3" t="s">
        <v>323</v>
      </c>
      <c r="C157" s="3" t="s">
        <v>117</v>
      </c>
      <c r="E157" s="3">
        <v>0</v>
      </c>
      <c r="G157" s="3">
        <v>0</v>
      </c>
      <c r="I157" s="3">
        <v>111351</v>
      </c>
      <c r="K157" s="3">
        <v>1911</v>
      </c>
      <c r="M157" s="3">
        <v>0</v>
      </c>
      <c r="O157" s="3">
        <v>200</v>
      </c>
      <c r="Q157" s="3">
        <v>266</v>
      </c>
      <c r="S157" s="3">
        <v>0</v>
      </c>
      <c r="U157" s="3">
        <v>0</v>
      </c>
      <c r="W157" s="3">
        <v>0</v>
      </c>
      <c r="Y157" s="3">
        <v>33786</v>
      </c>
      <c r="AA157" s="3">
        <v>0</v>
      </c>
      <c r="AC157" s="3">
        <f t="shared" si="2"/>
        <v>147514</v>
      </c>
    </row>
    <row r="158" spans="1:29" s="3" customFormat="1" ht="12">
      <c r="A158" s="3" t="s">
        <v>324</v>
      </c>
      <c r="C158" s="3" t="s">
        <v>157</v>
      </c>
      <c r="E158" s="3">
        <v>0</v>
      </c>
      <c r="G158" s="3">
        <v>0</v>
      </c>
      <c r="I158" s="3">
        <v>0</v>
      </c>
      <c r="K158" s="3">
        <v>18490</v>
      </c>
      <c r="M158" s="3">
        <v>0</v>
      </c>
      <c r="O158" s="3">
        <v>0</v>
      </c>
      <c r="Q158" s="3">
        <v>0</v>
      </c>
      <c r="S158" s="3">
        <v>0</v>
      </c>
      <c r="U158" s="3">
        <v>0</v>
      </c>
      <c r="W158" s="3">
        <v>0</v>
      </c>
      <c r="Y158" s="3">
        <v>0</v>
      </c>
      <c r="AA158" s="3">
        <v>0</v>
      </c>
      <c r="AC158" s="3">
        <f t="shared" si="2"/>
        <v>18490</v>
      </c>
    </row>
    <row r="159" spans="1:29" s="3" customFormat="1" ht="12">
      <c r="A159" s="3" t="s">
        <v>325</v>
      </c>
      <c r="C159" s="3" t="s">
        <v>185</v>
      </c>
      <c r="E159" s="3">
        <v>122097</v>
      </c>
      <c r="G159" s="3">
        <v>0</v>
      </c>
      <c r="I159" s="3">
        <v>0</v>
      </c>
      <c r="K159" s="3">
        <v>3223</v>
      </c>
      <c r="M159" s="3">
        <v>0</v>
      </c>
      <c r="O159" s="3">
        <v>3870</v>
      </c>
      <c r="Q159" s="3">
        <v>9728</v>
      </c>
      <c r="S159" s="3">
        <v>39</v>
      </c>
      <c r="U159" s="3">
        <v>0</v>
      </c>
      <c r="W159" s="3">
        <v>0</v>
      </c>
      <c r="Y159" s="3">
        <v>0</v>
      </c>
      <c r="AA159" s="3">
        <v>0</v>
      </c>
      <c r="AC159" s="3">
        <f t="shared" si="2"/>
        <v>138957</v>
      </c>
    </row>
    <row r="160" spans="1:29" s="3" customFormat="1" ht="12">
      <c r="A160" s="3" t="s">
        <v>326</v>
      </c>
      <c r="C160" s="3" t="s">
        <v>327</v>
      </c>
      <c r="E160" s="3">
        <v>0</v>
      </c>
      <c r="G160" s="3">
        <v>271350</v>
      </c>
      <c r="I160" s="3">
        <v>0</v>
      </c>
      <c r="K160" s="3">
        <v>8158</v>
      </c>
      <c r="M160" s="3">
        <v>0</v>
      </c>
      <c r="O160" s="3">
        <v>690</v>
      </c>
      <c r="Q160" s="3">
        <v>28795</v>
      </c>
      <c r="S160" s="3">
        <v>1505</v>
      </c>
      <c r="U160" s="3">
        <v>0</v>
      </c>
      <c r="W160" s="3">
        <v>0</v>
      </c>
      <c r="Y160" s="3">
        <v>0</v>
      </c>
      <c r="AA160" s="3">
        <v>0</v>
      </c>
      <c r="AC160" s="3">
        <f t="shared" si="2"/>
        <v>310498</v>
      </c>
    </row>
    <row r="161" spans="1:29" s="3" customFormat="1" ht="12">
      <c r="A161" s="3" t="s">
        <v>328</v>
      </c>
      <c r="C161" s="3" t="s">
        <v>106</v>
      </c>
      <c r="E161" s="3">
        <v>1595133</v>
      </c>
      <c r="G161" s="3">
        <v>1629473</v>
      </c>
      <c r="I161" s="3">
        <v>204143</v>
      </c>
      <c r="K161" s="3">
        <v>77906</v>
      </c>
      <c r="M161" s="3">
        <v>10000</v>
      </c>
      <c r="O161" s="3">
        <v>9203</v>
      </c>
      <c r="Q161" s="3">
        <v>315112</v>
      </c>
      <c r="S161" s="3">
        <v>3813</v>
      </c>
      <c r="U161" s="3">
        <v>0</v>
      </c>
      <c r="W161" s="3">
        <v>1000000</v>
      </c>
      <c r="Y161" s="3">
        <v>0</v>
      </c>
      <c r="AA161" s="3">
        <v>0</v>
      </c>
      <c r="AC161" s="3">
        <f t="shared" si="2"/>
        <v>4844783</v>
      </c>
    </row>
    <row r="162" spans="1:29" s="3" customFormat="1" ht="12">
      <c r="A162" s="3" t="s">
        <v>329</v>
      </c>
      <c r="C162" s="3" t="s">
        <v>161</v>
      </c>
      <c r="E162" s="3">
        <v>0</v>
      </c>
      <c r="G162" s="3">
        <v>304464</v>
      </c>
      <c r="I162" s="3">
        <v>0</v>
      </c>
      <c r="K162" s="3">
        <v>11532</v>
      </c>
      <c r="M162" s="3">
        <v>6355</v>
      </c>
      <c r="O162" s="3">
        <v>2624</v>
      </c>
      <c r="Q162" s="3">
        <f>27885+10807+350</f>
        <v>39042</v>
      </c>
      <c r="S162" s="3">
        <v>309</v>
      </c>
      <c r="U162" s="3">
        <v>0</v>
      </c>
      <c r="W162" s="3">
        <v>0</v>
      </c>
      <c r="Y162" s="3">
        <v>0</v>
      </c>
      <c r="AA162" s="3">
        <v>0</v>
      </c>
      <c r="AC162" s="3">
        <f t="shared" si="2"/>
        <v>364326</v>
      </c>
    </row>
    <row r="163" spans="1:29" s="3" customFormat="1" ht="12">
      <c r="A163" s="3" t="s">
        <v>330</v>
      </c>
      <c r="C163" s="3" t="s">
        <v>103</v>
      </c>
      <c r="E163" s="3">
        <v>0</v>
      </c>
      <c r="G163" s="3">
        <v>231733.2</v>
      </c>
      <c r="I163" s="3">
        <v>0</v>
      </c>
      <c r="K163" s="3">
        <v>4443.27</v>
      </c>
      <c r="M163" s="3">
        <v>0</v>
      </c>
      <c r="O163" s="3">
        <v>2277.97</v>
      </c>
      <c r="Q163" s="3">
        <v>2298.97</v>
      </c>
      <c r="S163" s="3">
        <v>63295.6</v>
      </c>
      <c r="U163" s="3">
        <v>0</v>
      </c>
      <c r="W163" s="3">
        <v>0</v>
      </c>
      <c r="Y163" s="3">
        <v>34000</v>
      </c>
      <c r="AA163" s="3">
        <v>447</v>
      </c>
      <c r="AC163" s="3">
        <f t="shared" si="2"/>
        <v>338496.01</v>
      </c>
    </row>
    <row r="164" spans="1:29" s="12" customFormat="1" ht="12">
      <c r="A164" s="11" t="s">
        <v>601</v>
      </c>
      <c r="B164" s="11"/>
      <c r="C164" s="11" t="s">
        <v>107</v>
      </c>
      <c r="E164" s="12">
        <v>379773</v>
      </c>
      <c r="G164" s="12">
        <v>0</v>
      </c>
      <c r="I164" s="12">
        <v>1658029</v>
      </c>
      <c r="K164" s="12">
        <v>0</v>
      </c>
      <c r="M164" s="12">
        <v>45087</v>
      </c>
      <c r="O164" s="12">
        <v>21757</v>
      </c>
      <c r="Q164" s="12">
        <v>41126</v>
      </c>
      <c r="S164" s="12">
        <v>17388</v>
      </c>
      <c r="U164" s="12">
        <v>0</v>
      </c>
      <c r="W164" s="12">
        <v>0</v>
      </c>
      <c r="Y164" s="12">
        <v>0</v>
      </c>
      <c r="AA164" s="12">
        <v>0</v>
      </c>
      <c r="AC164" s="12">
        <f>SUM(E164:AA164)</f>
        <v>2163160</v>
      </c>
    </row>
    <row r="165" spans="1:29" s="3" customFormat="1" ht="12">
      <c r="A165" s="3" t="s">
        <v>331</v>
      </c>
      <c r="C165" s="3" t="s">
        <v>332</v>
      </c>
      <c r="E165" s="3">
        <v>0</v>
      </c>
      <c r="G165" s="3">
        <v>0</v>
      </c>
      <c r="I165" s="3">
        <v>3147987</v>
      </c>
      <c r="K165" s="3">
        <v>117762</v>
      </c>
      <c r="M165" s="3">
        <v>0</v>
      </c>
      <c r="O165" s="3">
        <v>16341</v>
      </c>
      <c r="Q165" s="3">
        <v>231401</v>
      </c>
      <c r="S165" s="3">
        <f>7800+10506</f>
        <v>18306</v>
      </c>
      <c r="U165" s="3">
        <v>0</v>
      </c>
      <c r="W165" s="3">
        <v>516805</v>
      </c>
      <c r="Y165" s="3">
        <v>0</v>
      </c>
      <c r="AA165" s="3">
        <v>0</v>
      </c>
      <c r="AC165" s="3">
        <f t="shared" si="2"/>
        <v>4048602</v>
      </c>
    </row>
    <row r="166" spans="1:29" s="3" customFormat="1" ht="12">
      <c r="A166" s="3" t="s">
        <v>465</v>
      </c>
      <c r="C166" s="3" t="s">
        <v>153</v>
      </c>
      <c r="E166" s="3">
        <v>235626</v>
      </c>
      <c r="G166" s="3">
        <v>549433</v>
      </c>
      <c r="I166" s="3">
        <v>0</v>
      </c>
      <c r="K166" s="3">
        <v>13070</v>
      </c>
      <c r="M166" s="3">
        <v>0</v>
      </c>
      <c r="O166" s="3">
        <v>2268</v>
      </c>
      <c r="Q166" s="3">
        <v>34939</v>
      </c>
      <c r="S166" s="3">
        <v>3541</v>
      </c>
      <c r="U166" s="3">
        <v>0</v>
      </c>
      <c r="W166" s="3">
        <v>100000</v>
      </c>
      <c r="Y166" s="3">
        <v>0</v>
      </c>
      <c r="AA166" s="3">
        <v>0</v>
      </c>
      <c r="AC166" s="3">
        <f aca="true" t="shared" si="3" ref="AC166:AC200">SUM(E166:AA166)</f>
        <v>938877</v>
      </c>
    </row>
    <row r="167" spans="1:29" s="3" customFormat="1" ht="12">
      <c r="A167" s="3" t="s">
        <v>333</v>
      </c>
      <c r="C167" s="3" t="s">
        <v>334</v>
      </c>
      <c r="E167" s="3">
        <v>0</v>
      </c>
      <c r="G167" s="3">
        <v>0</v>
      </c>
      <c r="I167" s="3">
        <v>2208956</v>
      </c>
      <c r="K167" s="3">
        <v>35104</v>
      </c>
      <c r="M167" s="3">
        <v>0</v>
      </c>
      <c r="O167" s="3">
        <v>6448</v>
      </c>
      <c r="Q167" s="3">
        <v>2185</v>
      </c>
      <c r="S167" s="3">
        <v>12880</v>
      </c>
      <c r="U167" s="3">
        <v>0</v>
      </c>
      <c r="W167" s="3">
        <v>0</v>
      </c>
      <c r="Y167" s="3">
        <v>0</v>
      </c>
      <c r="AA167" s="3">
        <v>0</v>
      </c>
      <c r="AC167" s="3">
        <f t="shared" si="3"/>
        <v>2265573</v>
      </c>
    </row>
    <row r="168" spans="1:29" s="3" customFormat="1" ht="12">
      <c r="A168" s="3" t="s">
        <v>335</v>
      </c>
      <c r="C168" s="3" t="s">
        <v>215</v>
      </c>
      <c r="E168" s="3">
        <v>0</v>
      </c>
      <c r="G168" s="3">
        <v>588851</v>
      </c>
      <c r="I168" s="3">
        <v>12000</v>
      </c>
      <c r="K168" s="3">
        <v>19180</v>
      </c>
      <c r="M168" s="3">
        <v>0</v>
      </c>
      <c r="O168" s="3">
        <v>13501</v>
      </c>
      <c r="Q168" s="3">
        <v>2762</v>
      </c>
      <c r="S168" s="3">
        <v>9176</v>
      </c>
      <c r="U168" s="3">
        <v>0</v>
      </c>
      <c r="W168" s="3">
        <v>0</v>
      </c>
      <c r="Y168" s="3">
        <v>0</v>
      </c>
      <c r="AA168" s="3">
        <v>0</v>
      </c>
      <c r="AC168" s="3">
        <f t="shared" si="3"/>
        <v>645470</v>
      </c>
    </row>
    <row r="169" spans="1:29" s="3" customFormat="1" ht="12">
      <c r="A169" s="3" t="s">
        <v>336</v>
      </c>
      <c r="C169" s="3" t="s">
        <v>185</v>
      </c>
      <c r="E169" s="3">
        <v>260556</v>
      </c>
      <c r="G169" s="3">
        <v>0</v>
      </c>
      <c r="I169" s="3">
        <v>0</v>
      </c>
      <c r="K169" s="3">
        <v>8999</v>
      </c>
      <c r="M169" s="3">
        <v>0</v>
      </c>
      <c r="O169" s="3">
        <v>1186</v>
      </c>
      <c r="Q169" s="3">
        <v>20082</v>
      </c>
      <c r="S169" s="3">
        <v>8715</v>
      </c>
      <c r="U169" s="3">
        <v>0</v>
      </c>
      <c r="W169" s="3">
        <v>0</v>
      </c>
      <c r="Y169" s="3">
        <v>0</v>
      </c>
      <c r="AA169" s="3">
        <v>0</v>
      </c>
      <c r="AC169" s="3">
        <f t="shared" si="3"/>
        <v>299538</v>
      </c>
    </row>
    <row r="170" spans="1:29" s="3" customFormat="1" ht="12">
      <c r="A170" s="3" t="s">
        <v>337</v>
      </c>
      <c r="C170" s="3" t="s">
        <v>174</v>
      </c>
      <c r="E170" s="3">
        <v>0</v>
      </c>
      <c r="G170" s="3">
        <v>324735.37</v>
      </c>
      <c r="I170" s="3">
        <v>0</v>
      </c>
      <c r="K170" s="3">
        <v>4503.25</v>
      </c>
      <c r="M170" s="3">
        <v>0</v>
      </c>
      <c r="O170" s="3">
        <v>6580</v>
      </c>
      <c r="Q170" s="3">
        <v>2241.58</v>
      </c>
      <c r="S170" s="3">
        <v>634.72</v>
      </c>
      <c r="U170" s="3">
        <v>0</v>
      </c>
      <c r="W170" s="3">
        <v>0</v>
      </c>
      <c r="Y170" s="3">
        <v>0</v>
      </c>
      <c r="AA170" s="3">
        <v>0</v>
      </c>
      <c r="AC170" s="3">
        <f t="shared" si="3"/>
        <v>338694.92</v>
      </c>
    </row>
    <row r="171" spans="1:29" s="3" customFormat="1" ht="12">
      <c r="A171" s="3" t="s">
        <v>338</v>
      </c>
      <c r="C171" s="3" t="s">
        <v>159</v>
      </c>
      <c r="E171" s="3">
        <v>0</v>
      </c>
      <c r="G171" s="3">
        <v>121675.32</v>
      </c>
      <c r="I171" s="3">
        <v>0</v>
      </c>
      <c r="K171" s="3">
        <v>3042.84</v>
      </c>
      <c r="M171" s="3">
        <v>0</v>
      </c>
      <c r="O171" s="3">
        <v>262.59</v>
      </c>
      <c r="Q171" s="3">
        <v>94.88</v>
      </c>
      <c r="S171" s="3">
        <v>18750.04</v>
      </c>
      <c r="U171" s="3">
        <v>347.58</v>
      </c>
      <c r="W171" s="3">
        <v>0</v>
      </c>
      <c r="Y171" s="3">
        <v>0</v>
      </c>
      <c r="AA171" s="3">
        <v>0</v>
      </c>
      <c r="AC171" s="3">
        <f t="shared" si="3"/>
        <v>144173.25</v>
      </c>
    </row>
    <row r="172" spans="1:29" s="3" customFormat="1" ht="12">
      <c r="A172" s="3" t="s">
        <v>339</v>
      </c>
      <c r="C172" s="3" t="s">
        <v>134</v>
      </c>
      <c r="E172" s="3">
        <v>0</v>
      </c>
      <c r="G172" s="3">
        <v>3112958</v>
      </c>
      <c r="I172" s="3">
        <v>0</v>
      </c>
      <c r="K172" s="3">
        <v>147640</v>
      </c>
      <c r="M172" s="3">
        <v>22503</v>
      </c>
      <c r="O172" s="3">
        <v>2131</v>
      </c>
      <c r="Q172" s="3">
        <f>34781+76027</f>
        <v>110808</v>
      </c>
      <c r="S172" s="3">
        <v>46212</v>
      </c>
      <c r="U172" s="3">
        <v>0</v>
      </c>
      <c r="W172" s="3">
        <v>1075000</v>
      </c>
      <c r="Y172" s="3">
        <v>0</v>
      </c>
      <c r="AA172" s="3">
        <v>0</v>
      </c>
      <c r="AC172" s="3">
        <f t="shared" si="3"/>
        <v>4517252</v>
      </c>
    </row>
    <row r="173" spans="1:29" s="3" customFormat="1" ht="12">
      <c r="A173" s="3" t="s">
        <v>340</v>
      </c>
      <c r="C173" s="3" t="s">
        <v>117</v>
      </c>
      <c r="E173" s="3">
        <v>0</v>
      </c>
      <c r="G173" s="3">
        <v>311765.54</v>
      </c>
      <c r="I173" s="3">
        <v>5249.82</v>
      </c>
      <c r="K173" s="3">
        <v>9173.19</v>
      </c>
      <c r="M173" s="3">
        <v>0</v>
      </c>
      <c r="O173" s="3">
        <v>17784.38</v>
      </c>
      <c r="Q173" s="3">
        <v>2798.19</v>
      </c>
      <c r="S173" s="3">
        <v>11838.86</v>
      </c>
      <c r="U173" s="3">
        <v>438</v>
      </c>
      <c r="W173" s="3">
        <v>26729.16</v>
      </c>
      <c r="Y173" s="3">
        <v>0</v>
      </c>
      <c r="AA173" s="3">
        <v>0</v>
      </c>
      <c r="AC173" s="3">
        <f t="shared" si="3"/>
        <v>385777.13999999996</v>
      </c>
    </row>
    <row r="174" spans="1:29" s="3" customFormat="1" ht="12">
      <c r="A174" s="3" t="s">
        <v>341</v>
      </c>
      <c r="C174" s="3" t="s">
        <v>149</v>
      </c>
      <c r="E174" s="3">
        <v>104160</v>
      </c>
      <c r="G174" s="3">
        <v>659266</v>
      </c>
      <c r="I174" s="3">
        <v>13735</v>
      </c>
      <c r="K174" s="3">
        <v>12329</v>
      </c>
      <c r="M174" s="3">
        <v>0</v>
      </c>
      <c r="O174" s="3">
        <f>4100+51064</f>
        <v>55164</v>
      </c>
      <c r="Q174" s="3">
        <f>7541+13166</f>
        <v>20707</v>
      </c>
      <c r="S174" s="3">
        <v>5282</v>
      </c>
      <c r="U174" s="3">
        <v>0</v>
      </c>
      <c r="W174" s="3">
        <v>0</v>
      </c>
      <c r="Y174" s="3">
        <v>0</v>
      </c>
      <c r="AA174" s="3">
        <v>0</v>
      </c>
      <c r="AC174" s="3">
        <f t="shared" si="3"/>
        <v>870643</v>
      </c>
    </row>
    <row r="175" spans="1:29" s="3" customFormat="1" ht="12">
      <c r="A175" s="3" t="s">
        <v>342</v>
      </c>
      <c r="C175" s="3" t="s">
        <v>343</v>
      </c>
      <c r="E175" s="3">
        <v>0</v>
      </c>
      <c r="G175" s="3">
        <v>0</v>
      </c>
      <c r="I175" s="3">
        <f>339875+179959+346018</f>
        <v>865852</v>
      </c>
      <c r="K175" s="3">
        <v>142177</v>
      </c>
      <c r="M175" s="3">
        <v>0</v>
      </c>
      <c r="O175" s="3">
        <v>0</v>
      </c>
      <c r="Q175" s="3">
        <v>45683</v>
      </c>
      <c r="S175" s="3">
        <v>34119</v>
      </c>
      <c r="U175" s="3">
        <v>0</v>
      </c>
      <c r="W175" s="3">
        <f>3690+62549</f>
        <v>66239</v>
      </c>
      <c r="Y175" s="3">
        <v>0</v>
      </c>
      <c r="AA175" s="3">
        <v>0</v>
      </c>
      <c r="AC175" s="3">
        <f t="shared" si="3"/>
        <v>1154070</v>
      </c>
    </row>
    <row r="176" spans="1:29" s="3" customFormat="1" ht="12">
      <c r="A176" s="3" t="s">
        <v>344</v>
      </c>
      <c r="C176" s="3" t="s">
        <v>135</v>
      </c>
      <c r="E176" s="3">
        <v>0</v>
      </c>
      <c r="G176" s="3">
        <v>154907.47</v>
      </c>
      <c r="I176" s="3">
        <v>0</v>
      </c>
      <c r="K176" s="3">
        <v>5232.04</v>
      </c>
      <c r="M176" s="3">
        <v>6000</v>
      </c>
      <c r="O176" s="3">
        <v>525</v>
      </c>
      <c r="Q176" s="3">
        <v>1849.07</v>
      </c>
      <c r="S176" s="3">
        <v>24.03</v>
      </c>
      <c r="U176" s="3">
        <v>1058.31</v>
      </c>
      <c r="W176" s="3">
        <v>0</v>
      </c>
      <c r="Y176" s="3">
        <v>0</v>
      </c>
      <c r="AA176" s="3">
        <v>0</v>
      </c>
      <c r="AC176" s="3">
        <f t="shared" si="3"/>
        <v>169595.92</v>
      </c>
    </row>
    <row r="177" spans="1:29" s="3" customFormat="1" ht="12">
      <c r="A177" s="3" t="s">
        <v>345</v>
      </c>
      <c r="C177" s="3" t="s">
        <v>158</v>
      </c>
      <c r="E177" s="3">
        <v>0</v>
      </c>
      <c r="G177" s="3">
        <v>401681.32</v>
      </c>
      <c r="I177" s="3">
        <v>0</v>
      </c>
      <c r="K177" s="3">
        <v>10564.96</v>
      </c>
      <c r="M177" s="3">
        <v>0</v>
      </c>
      <c r="O177" s="3">
        <v>8702.52</v>
      </c>
      <c r="Q177" s="3">
        <v>16243.15</v>
      </c>
      <c r="S177" s="3">
        <v>2822.17</v>
      </c>
      <c r="U177" s="3">
        <v>640.94</v>
      </c>
      <c r="W177" s="3">
        <v>0</v>
      </c>
      <c r="Y177" s="3">
        <v>0</v>
      </c>
      <c r="AA177" s="3">
        <v>0</v>
      </c>
      <c r="AC177" s="3">
        <f t="shared" si="3"/>
        <v>440655.06000000006</v>
      </c>
    </row>
    <row r="178" spans="1:29" s="3" customFormat="1" ht="12">
      <c r="A178" s="3" t="s">
        <v>346</v>
      </c>
      <c r="C178" s="3" t="s">
        <v>116</v>
      </c>
      <c r="E178" s="3">
        <v>188768</v>
      </c>
      <c r="G178" s="3">
        <v>1525462</v>
      </c>
      <c r="I178" s="3">
        <v>20279</v>
      </c>
      <c r="K178" s="3">
        <v>101882</v>
      </c>
      <c r="M178" s="3">
        <v>0</v>
      </c>
      <c r="O178" s="3">
        <f>16485+122533</f>
        <v>139018</v>
      </c>
      <c r="Q178" s="3">
        <v>26617</v>
      </c>
      <c r="S178" s="3">
        <v>1459</v>
      </c>
      <c r="U178" s="3">
        <v>0</v>
      </c>
      <c r="W178" s="3">
        <v>100000</v>
      </c>
      <c r="Y178" s="3">
        <v>0</v>
      </c>
      <c r="AA178" s="3">
        <v>0</v>
      </c>
      <c r="AC178" s="3">
        <f t="shared" si="3"/>
        <v>2103485</v>
      </c>
    </row>
    <row r="179" spans="1:29" s="3" customFormat="1" ht="12">
      <c r="A179" s="3" t="s">
        <v>347</v>
      </c>
      <c r="C179" s="3" t="s">
        <v>158</v>
      </c>
      <c r="E179" s="3">
        <v>0</v>
      </c>
      <c r="G179" s="3">
        <v>0</v>
      </c>
      <c r="I179" s="3">
        <v>125396</v>
      </c>
      <c r="K179" s="3">
        <v>0</v>
      </c>
      <c r="M179" s="3">
        <v>108211</v>
      </c>
      <c r="O179" s="3">
        <v>0</v>
      </c>
      <c r="Q179" s="3">
        <v>4490</v>
      </c>
      <c r="S179" s="3">
        <v>0</v>
      </c>
      <c r="U179" s="3">
        <v>0</v>
      </c>
      <c r="W179" s="3">
        <v>35353</v>
      </c>
      <c r="Y179" s="3">
        <v>0</v>
      </c>
      <c r="AA179" s="3">
        <v>0</v>
      </c>
      <c r="AC179" s="3">
        <f t="shared" si="3"/>
        <v>273450</v>
      </c>
    </row>
    <row r="180" spans="1:29" s="3" customFormat="1" ht="12">
      <c r="A180" s="3" t="s">
        <v>348</v>
      </c>
      <c r="C180" s="3" t="s">
        <v>185</v>
      </c>
      <c r="E180" s="3">
        <v>0</v>
      </c>
      <c r="G180" s="3">
        <v>714578.51</v>
      </c>
      <c r="I180" s="3">
        <v>34804.37</v>
      </c>
      <c r="K180" s="3">
        <v>31085.76</v>
      </c>
      <c r="M180" s="3">
        <v>0</v>
      </c>
      <c r="O180" s="3">
        <v>102540.49</v>
      </c>
      <c r="Q180" s="3">
        <v>10925.25</v>
      </c>
      <c r="S180" s="3">
        <v>30211.94</v>
      </c>
      <c r="U180" s="3">
        <v>0</v>
      </c>
      <c r="W180" s="3">
        <v>99304.48</v>
      </c>
      <c r="Y180" s="3">
        <v>0</v>
      </c>
      <c r="AA180" s="3">
        <v>0</v>
      </c>
      <c r="AC180" s="3">
        <f t="shared" si="3"/>
        <v>1023450.7999999999</v>
      </c>
    </row>
    <row r="181" spans="1:29" s="3" customFormat="1" ht="12">
      <c r="A181" s="3" t="s">
        <v>349</v>
      </c>
      <c r="C181" s="3" t="s">
        <v>266</v>
      </c>
      <c r="E181" s="3">
        <v>313295</v>
      </c>
      <c r="G181" s="3">
        <v>0</v>
      </c>
      <c r="I181" s="3">
        <v>0</v>
      </c>
      <c r="K181" s="3">
        <v>14011</v>
      </c>
      <c r="M181" s="3">
        <v>0</v>
      </c>
      <c r="O181" s="3">
        <v>1602</v>
      </c>
      <c r="Q181" s="3">
        <v>26215</v>
      </c>
      <c r="S181" s="3">
        <v>4871</v>
      </c>
      <c r="U181" s="3">
        <v>0</v>
      </c>
      <c r="W181" s="3">
        <v>0</v>
      </c>
      <c r="Y181" s="3">
        <v>0</v>
      </c>
      <c r="AA181" s="3">
        <v>0</v>
      </c>
      <c r="AC181" s="3">
        <f t="shared" si="3"/>
        <v>359994</v>
      </c>
    </row>
    <row r="182" spans="1:29" s="3" customFormat="1" ht="12">
      <c r="A182" s="3" t="s">
        <v>350</v>
      </c>
      <c r="C182" s="3" t="s">
        <v>282</v>
      </c>
      <c r="E182" s="3">
        <v>263045</v>
      </c>
      <c r="G182" s="3">
        <v>0</v>
      </c>
      <c r="I182" s="3">
        <v>0</v>
      </c>
      <c r="K182" s="3">
        <v>6050</v>
      </c>
      <c r="M182" s="3">
        <v>0</v>
      </c>
      <c r="O182" s="3">
        <v>690</v>
      </c>
      <c r="Q182" s="3">
        <v>14143</v>
      </c>
      <c r="S182" s="3">
        <v>331</v>
      </c>
      <c r="U182" s="3">
        <v>0</v>
      </c>
      <c r="W182" s="3">
        <v>0</v>
      </c>
      <c r="Y182" s="3">
        <v>0</v>
      </c>
      <c r="AA182" s="3">
        <v>0</v>
      </c>
      <c r="AC182" s="3">
        <f t="shared" si="3"/>
        <v>284259</v>
      </c>
    </row>
    <row r="183" spans="1:29" s="3" customFormat="1" ht="12">
      <c r="A183" s="3" t="s">
        <v>351</v>
      </c>
      <c r="C183" s="3" t="s">
        <v>150</v>
      </c>
      <c r="E183" s="3">
        <v>0</v>
      </c>
      <c r="G183" s="3">
        <v>527733.13</v>
      </c>
      <c r="I183" s="3">
        <v>0</v>
      </c>
      <c r="K183" s="3">
        <v>35872.67</v>
      </c>
      <c r="M183" s="3">
        <v>0</v>
      </c>
      <c r="O183" s="3">
        <v>6351</v>
      </c>
      <c r="Q183" s="3">
        <v>26604.33</v>
      </c>
      <c r="S183" s="3">
        <v>2265.12</v>
      </c>
      <c r="U183" s="3">
        <v>0</v>
      </c>
      <c r="W183" s="3">
        <v>150000</v>
      </c>
      <c r="Y183" s="3">
        <v>0</v>
      </c>
      <c r="AA183" s="3">
        <v>0</v>
      </c>
      <c r="AC183" s="3">
        <f t="shared" si="3"/>
        <v>748826.25</v>
      </c>
    </row>
    <row r="184" spans="1:29" s="3" customFormat="1" ht="12">
      <c r="A184" s="3" t="s">
        <v>352</v>
      </c>
      <c r="C184" s="3" t="s">
        <v>282</v>
      </c>
      <c r="E184" s="3">
        <v>0</v>
      </c>
      <c r="G184" s="3">
        <v>0</v>
      </c>
      <c r="I184" s="3">
        <v>207415</v>
      </c>
      <c r="K184" s="3">
        <v>11655</v>
      </c>
      <c r="M184" s="3">
        <v>0</v>
      </c>
      <c r="O184" s="3">
        <v>0</v>
      </c>
      <c r="Q184" s="3">
        <v>4267</v>
      </c>
      <c r="S184" s="3">
        <v>1110</v>
      </c>
      <c r="U184" s="3">
        <v>0</v>
      </c>
      <c r="W184" s="3">
        <v>0</v>
      </c>
      <c r="Y184" s="3">
        <v>0</v>
      </c>
      <c r="AA184" s="3">
        <v>0</v>
      </c>
      <c r="AC184" s="3">
        <f t="shared" si="3"/>
        <v>224447</v>
      </c>
    </row>
    <row r="185" spans="1:29" s="3" customFormat="1" ht="12">
      <c r="A185" s="3" t="s">
        <v>353</v>
      </c>
      <c r="C185" s="3" t="s">
        <v>354</v>
      </c>
      <c r="E185" s="3">
        <v>134684</v>
      </c>
      <c r="G185" s="3">
        <v>673490</v>
      </c>
      <c r="I185" s="3">
        <v>19691</v>
      </c>
      <c r="K185" s="3">
        <v>42391</v>
      </c>
      <c r="M185" s="3">
        <v>0</v>
      </c>
      <c r="O185" s="3">
        <v>10989</v>
      </c>
      <c r="Q185" s="3">
        <v>43079</v>
      </c>
      <c r="S185" s="3">
        <f>7561-107</f>
        <v>7454</v>
      </c>
      <c r="U185" s="3">
        <v>0</v>
      </c>
      <c r="W185" s="3">
        <v>0</v>
      </c>
      <c r="Y185" s="3">
        <v>0</v>
      </c>
      <c r="AA185" s="3">
        <v>0</v>
      </c>
      <c r="AC185" s="3">
        <f t="shared" si="3"/>
        <v>931778</v>
      </c>
    </row>
    <row r="186" spans="1:29" s="3" customFormat="1" ht="12">
      <c r="A186" s="3" t="s">
        <v>355</v>
      </c>
      <c r="C186" s="3" t="s">
        <v>134</v>
      </c>
      <c r="E186" s="3">
        <v>0</v>
      </c>
      <c r="G186" s="3">
        <v>615060.44</v>
      </c>
      <c r="I186" s="3">
        <v>0</v>
      </c>
      <c r="K186" s="3">
        <v>19913.39</v>
      </c>
      <c r="M186" s="3">
        <v>0</v>
      </c>
      <c r="O186" s="3">
        <v>2908</v>
      </c>
      <c r="Q186" s="3">
        <v>47089.9</v>
      </c>
      <c r="S186" s="3">
        <v>457.76</v>
      </c>
      <c r="U186" s="3">
        <v>0</v>
      </c>
      <c r="W186" s="3">
        <v>0</v>
      </c>
      <c r="Y186" s="3">
        <v>0</v>
      </c>
      <c r="AA186" s="3">
        <v>0</v>
      </c>
      <c r="AC186" s="3">
        <f t="shared" si="3"/>
        <v>685429.49</v>
      </c>
    </row>
    <row r="187" spans="1:29" s="3" customFormat="1" ht="12">
      <c r="A187" s="3" t="s">
        <v>356</v>
      </c>
      <c r="C187" s="3" t="s">
        <v>153</v>
      </c>
      <c r="E187" s="3">
        <v>0</v>
      </c>
      <c r="G187" s="3">
        <v>233617.22</v>
      </c>
      <c r="I187" s="3">
        <v>0</v>
      </c>
      <c r="K187" s="3">
        <v>3965.74</v>
      </c>
      <c r="M187" s="3">
        <v>0</v>
      </c>
      <c r="O187" s="3">
        <v>8152.71</v>
      </c>
      <c r="Q187" s="3">
        <v>6780.89</v>
      </c>
      <c r="S187" s="3">
        <v>653.54</v>
      </c>
      <c r="U187" s="3">
        <v>188.3</v>
      </c>
      <c r="W187" s="3">
        <v>0</v>
      </c>
      <c r="Y187" s="3">
        <v>0</v>
      </c>
      <c r="AA187" s="3">
        <v>0</v>
      </c>
      <c r="AC187" s="3">
        <f t="shared" si="3"/>
        <v>253358.4</v>
      </c>
    </row>
    <row r="188" spans="1:29" s="3" customFormat="1" ht="12">
      <c r="A188" s="3" t="s">
        <v>357</v>
      </c>
      <c r="C188" s="3" t="s">
        <v>358</v>
      </c>
      <c r="E188" s="3">
        <v>0</v>
      </c>
      <c r="G188" s="3">
        <v>752525</v>
      </c>
      <c r="I188" s="3">
        <v>0</v>
      </c>
      <c r="K188" s="3">
        <v>28719</v>
      </c>
      <c r="M188" s="3">
        <v>0</v>
      </c>
      <c r="O188" s="3">
        <v>3592</v>
      </c>
      <c r="Q188" s="3">
        <v>31928</v>
      </c>
      <c r="S188" s="3">
        <v>3377</v>
      </c>
      <c r="U188" s="3">
        <v>0</v>
      </c>
      <c r="W188" s="3">
        <v>0</v>
      </c>
      <c r="Y188" s="3">
        <v>0</v>
      </c>
      <c r="AA188" s="3">
        <v>0</v>
      </c>
      <c r="AC188" s="3">
        <f t="shared" si="3"/>
        <v>820141</v>
      </c>
    </row>
    <row r="189" spans="1:29" s="3" customFormat="1" ht="12">
      <c r="A189" s="3" t="s">
        <v>359</v>
      </c>
      <c r="C189" s="3" t="s">
        <v>358</v>
      </c>
      <c r="E189" s="3">
        <v>0</v>
      </c>
      <c r="G189" s="3">
        <v>0</v>
      </c>
      <c r="I189" s="3">
        <v>0</v>
      </c>
      <c r="K189" s="3">
        <v>56092</v>
      </c>
      <c r="M189" s="3">
        <v>0</v>
      </c>
      <c r="O189" s="3">
        <v>0</v>
      </c>
      <c r="Q189" s="3">
        <v>0</v>
      </c>
      <c r="S189" s="3">
        <v>1</v>
      </c>
      <c r="U189" s="3">
        <v>0</v>
      </c>
      <c r="W189" s="3">
        <v>0</v>
      </c>
      <c r="Y189" s="3">
        <v>0</v>
      </c>
      <c r="AA189" s="3">
        <v>0</v>
      </c>
      <c r="AC189" s="3">
        <f t="shared" si="3"/>
        <v>56093</v>
      </c>
    </row>
    <row r="190" spans="1:29" s="3" customFormat="1" ht="12">
      <c r="A190" s="3" t="s">
        <v>360</v>
      </c>
      <c r="C190" s="3" t="s">
        <v>158</v>
      </c>
      <c r="E190" s="3">
        <v>0</v>
      </c>
      <c r="G190" s="3">
        <v>395779.35</v>
      </c>
      <c r="I190" s="3">
        <v>0</v>
      </c>
      <c r="K190" s="3">
        <v>8935.26</v>
      </c>
      <c r="M190" s="3">
        <v>0</v>
      </c>
      <c r="O190" s="3">
        <v>855.25</v>
      </c>
      <c r="Q190" s="3">
        <v>25111.52</v>
      </c>
      <c r="S190" s="3">
        <v>4545.72</v>
      </c>
      <c r="U190" s="3">
        <v>0</v>
      </c>
      <c r="W190" s="3">
        <v>50000</v>
      </c>
      <c r="Y190" s="3">
        <v>0</v>
      </c>
      <c r="AA190" s="3">
        <v>389127</v>
      </c>
      <c r="AC190" s="3">
        <f t="shared" si="3"/>
        <v>874354.1</v>
      </c>
    </row>
    <row r="191" spans="1:29" s="3" customFormat="1" ht="12">
      <c r="A191" s="3" t="s">
        <v>361</v>
      </c>
      <c r="C191" s="3" t="s">
        <v>113</v>
      </c>
      <c r="E191" s="3">
        <v>0</v>
      </c>
      <c r="G191" s="3">
        <v>387237.46</v>
      </c>
      <c r="I191" s="3">
        <v>0</v>
      </c>
      <c r="K191" s="3">
        <v>5935.55</v>
      </c>
      <c r="M191" s="3">
        <v>0</v>
      </c>
      <c r="O191" s="3">
        <v>0</v>
      </c>
      <c r="Q191" s="3">
        <v>2225.57</v>
      </c>
      <c r="S191" s="3">
        <v>0</v>
      </c>
      <c r="U191" s="3">
        <v>0</v>
      </c>
      <c r="W191" s="3">
        <v>0</v>
      </c>
      <c r="Y191" s="3">
        <v>0</v>
      </c>
      <c r="AA191" s="3">
        <v>0</v>
      </c>
      <c r="AC191" s="3">
        <f t="shared" si="3"/>
        <v>395398.58</v>
      </c>
    </row>
    <row r="192" spans="1:29" s="3" customFormat="1" ht="12">
      <c r="A192" s="3" t="s">
        <v>362</v>
      </c>
      <c r="C192" s="3" t="s">
        <v>159</v>
      </c>
      <c r="E192" s="3">
        <v>0</v>
      </c>
      <c r="G192" s="3">
        <v>1095078.06</v>
      </c>
      <c r="I192" s="3">
        <v>8030.11</v>
      </c>
      <c r="K192" s="3">
        <v>30701.79</v>
      </c>
      <c r="M192" s="3">
        <v>0</v>
      </c>
      <c r="O192" s="3">
        <v>3223.33</v>
      </c>
      <c r="Q192" s="3">
        <v>13369.33</v>
      </c>
      <c r="S192" s="3">
        <v>61376.65</v>
      </c>
      <c r="U192" s="3">
        <v>0</v>
      </c>
      <c r="W192" s="3">
        <v>0</v>
      </c>
      <c r="Y192" s="3">
        <v>400</v>
      </c>
      <c r="AA192" s="3">
        <v>0</v>
      </c>
      <c r="AC192" s="3">
        <f t="shared" si="3"/>
        <v>1212179.2700000003</v>
      </c>
    </row>
    <row r="193" spans="1:29" s="3" customFormat="1" ht="12">
      <c r="A193" s="3" t="s">
        <v>363</v>
      </c>
      <c r="C193" s="3" t="s">
        <v>161</v>
      </c>
      <c r="E193" s="3">
        <v>0</v>
      </c>
      <c r="G193" s="3">
        <v>260970</v>
      </c>
      <c r="I193" s="3">
        <v>0</v>
      </c>
      <c r="K193" s="3">
        <v>2887</v>
      </c>
      <c r="M193" s="3">
        <v>0</v>
      </c>
      <c r="O193" s="3">
        <v>0</v>
      </c>
      <c r="Q193" s="3">
        <v>327</v>
      </c>
      <c r="S193" s="3">
        <v>707</v>
      </c>
      <c r="U193" s="3">
        <v>0</v>
      </c>
      <c r="W193" s="3">
        <v>82834</v>
      </c>
      <c r="Y193" s="3">
        <v>0</v>
      </c>
      <c r="AA193" s="3">
        <v>0</v>
      </c>
      <c r="AC193" s="3">
        <f t="shared" si="3"/>
        <v>347725</v>
      </c>
    </row>
    <row r="194" spans="1:29" s="3" customFormat="1" ht="12">
      <c r="A194" s="3" t="s">
        <v>364</v>
      </c>
      <c r="C194" s="3" t="s">
        <v>159</v>
      </c>
      <c r="E194" s="3">
        <v>0</v>
      </c>
      <c r="G194" s="3">
        <v>0</v>
      </c>
      <c r="I194" s="3">
        <v>0</v>
      </c>
      <c r="K194" s="3">
        <v>84429</v>
      </c>
      <c r="M194" s="3">
        <v>0</v>
      </c>
      <c r="O194" s="3">
        <v>0</v>
      </c>
      <c r="Q194" s="3">
        <v>255</v>
      </c>
      <c r="S194" s="3">
        <f>2019+137</f>
        <v>2156</v>
      </c>
      <c r="U194" s="3">
        <v>0</v>
      </c>
      <c r="W194" s="3">
        <v>0</v>
      </c>
      <c r="Y194" s="3">
        <v>0</v>
      </c>
      <c r="AA194" s="3">
        <v>0</v>
      </c>
      <c r="AC194" s="3">
        <f t="shared" si="3"/>
        <v>86840</v>
      </c>
    </row>
    <row r="195" spans="1:29" s="3" customFormat="1" ht="12">
      <c r="A195" s="3" t="s">
        <v>365</v>
      </c>
      <c r="C195" s="3" t="s">
        <v>106</v>
      </c>
      <c r="E195" s="3">
        <v>0</v>
      </c>
      <c r="G195" s="3">
        <v>418318.39</v>
      </c>
      <c r="I195" s="3">
        <v>143308.42</v>
      </c>
      <c r="K195" s="3">
        <v>23240.82</v>
      </c>
      <c r="M195" s="3">
        <v>0</v>
      </c>
      <c r="O195" s="3">
        <v>0</v>
      </c>
      <c r="Q195" s="3">
        <v>116431.62</v>
      </c>
      <c r="S195" s="3">
        <v>9615.58</v>
      </c>
      <c r="U195" s="3">
        <v>0</v>
      </c>
      <c r="W195" s="3">
        <v>20000</v>
      </c>
      <c r="Y195" s="3">
        <v>0</v>
      </c>
      <c r="AA195" s="3">
        <v>0</v>
      </c>
      <c r="AC195" s="3">
        <f t="shared" si="3"/>
        <v>730914.83</v>
      </c>
    </row>
    <row r="196" spans="1:29" s="3" customFormat="1" ht="12">
      <c r="A196" s="3" t="s">
        <v>366</v>
      </c>
      <c r="C196" s="3" t="s">
        <v>367</v>
      </c>
      <c r="E196" s="3">
        <v>0</v>
      </c>
      <c r="G196" s="3">
        <v>1854662</v>
      </c>
      <c r="I196" s="3">
        <v>0</v>
      </c>
      <c r="K196" s="3">
        <v>66633</v>
      </c>
      <c r="M196" s="3">
        <v>0</v>
      </c>
      <c r="O196" s="3">
        <v>10193845</v>
      </c>
      <c r="Q196" s="3">
        <v>325954</v>
      </c>
      <c r="S196" s="3">
        <v>215</v>
      </c>
      <c r="U196" s="3">
        <v>2505</v>
      </c>
      <c r="W196" s="3">
        <v>0</v>
      </c>
      <c r="Y196" s="3">
        <v>0</v>
      </c>
      <c r="AA196" s="3">
        <v>0</v>
      </c>
      <c r="AC196" s="3">
        <f t="shared" si="3"/>
        <v>12443814</v>
      </c>
    </row>
    <row r="197" spans="1:29" s="3" customFormat="1" ht="12">
      <c r="A197" s="3" t="s">
        <v>368</v>
      </c>
      <c r="C197" s="3" t="s">
        <v>160</v>
      </c>
      <c r="E197" s="3">
        <v>0</v>
      </c>
      <c r="G197" s="3">
        <v>1064770.15</v>
      </c>
      <c r="I197" s="3">
        <v>7195.98</v>
      </c>
      <c r="K197" s="3">
        <v>51487.3</v>
      </c>
      <c r="M197" s="3">
        <v>0</v>
      </c>
      <c r="O197" s="3">
        <v>14168.48</v>
      </c>
      <c r="Q197" s="3">
        <v>12673.64</v>
      </c>
      <c r="S197" s="3">
        <v>379.78</v>
      </c>
      <c r="U197" s="3">
        <v>142</v>
      </c>
      <c r="W197" s="3">
        <v>150000</v>
      </c>
      <c r="Y197" s="3">
        <v>0</v>
      </c>
      <c r="AA197" s="3">
        <v>0</v>
      </c>
      <c r="AC197" s="3">
        <f t="shared" si="3"/>
        <v>1300817.3299999998</v>
      </c>
    </row>
    <row r="198" spans="1:29" s="3" customFormat="1" ht="12">
      <c r="A198" s="3" t="s">
        <v>369</v>
      </c>
      <c r="C198" s="3" t="s">
        <v>103</v>
      </c>
      <c r="E198" s="3">
        <v>0</v>
      </c>
      <c r="G198" s="3">
        <v>433360.11</v>
      </c>
      <c r="I198" s="3">
        <v>0</v>
      </c>
      <c r="K198" s="3">
        <v>21525.85</v>
      </c>
      <c r="M198" s="3">
        <v>0</v>
      </c>
      <c r="O198" s="3">
        <v>83587.52</v>
      </c>
      <c r="Q198" s="3">
        <v>7234.09</v>
      </c>
      <c r="S198" s="3">
        <v>875.66</v>
      </c>
      <c r="U198" s="3">
        <v>0</v>
      </c>
      <c r="W198" s="3">
        <v>0</v>
      </c>
      <c r="Y198" s="3">
        <v>0</v>
      </c>
      <c r="AA198" s="3">
        <v>0</v>
      </c>
      <c r="AC198" s="3">
        <f t="shared" si="3"/>
        <v>546583.23</v>
      </c>
    </row>
    <row r="199" spans="1:29" s="3" customFormat="1" ht="12">
      <c r="A199" s="3" t="s">
        <v>370</v>
      </c>
      <c r="C199" s="3" t="s">
        <v>286</v>
      </c>
      <c r="E199" s="3">
        <v>0</v>
      </c>
      <c r="G199" s="3">
        <v>2560704</v>
      </c>
      <c r="I199" s="3">
        <v>3407</v>
      </c>
      <c r="K199" s="3">
        <v>42554</v>
      </c>
      <c r="M199" s="3">
        <v>51411</v>
      </c>
      <c r="O199" s="3">
        <v>3828</v>
      </c>
      <c r="Q199" s="3">
        <f>56586+4707+2354</f>
        <v>63647</v>
      </c>
      <c r="S199" s="3">
        <v>54335</v>
      </c>
      <c r="U199" s="3">
        <v>0</v>
      </c>
      <c r="W199" s="3">
        <f>7870+56814</f>
        <v>64684</v>
      </c>
      <c r="Y199" s="3">
        <v>0</v>
      </c>
      <c r="AA199" s="3">
        <v>0</v>
      </c>
      <c r="AC199" s="3">
        <f t="shared" si="3"/>
        <v>2844570</v>
      </c>
    </row>
    <row r="200" spans="1:29" s="3" customFormat="1" ht="12">
      <c r="A200" s="3" t="s">
        <v>371</v>
      </c>
      <c r="C200" s="3" t="s">
        <v>286</v>
      </c>
      <c r="E200" s="3">
        <v>2757696</v>
      </c>
      <c r="G200" s="3">
        <v>1713046</v>
      </c>
      <c r="I200" s="3">
        <v>0</v>
      </c>
      <c r="K200" s="3">
        <v>84781</v>
      </c>
      <c r="M200" s="3">
        <v>0</v>
      </c>
      <c r="O200" s="3">
        <f>3445+77235+33437</f>
        <v>114117</v>
      </c>
      <c r="Q200" s="3">
        <f>83690+4295+36805</f>
        <v>124790</v>
      </c>
      <c r="S200" s="3">
        <v>27755</v>
      </c>
      <c r="U200" s="3">
        <v>0</v>
      </c>
      <c r="W200" s="3">
        <v>0</v>
      </c>
      <c r="Y200" s="3">
        <v>0</v>
      </c>
      <c r="AA200" s="3">
        <v>0</v>
      </c>
      <c r="AC200" s="3">
        <f t="shared" si="3"/>
        <v>4822185</v>
      </c>
    </row>
    <row r="201" s="3" customFormat="1" ht="12">
      <c r="AC201" s="9" t="s">
        <v>98</v>
      </c>
    </row>
    <row r="202" spans="1:29" s="5" customFormat="1" ht="12">
      <c r="A202" s="5" t="s">
        <v>114</v>
      </c>
      <c r="C202" s="5" t="s">
        <v>115</v>
      </c>
      <c r="E202" s="5">
        <v>0</v>
      </c>
      <c r="G202" s="5">
        <v>3000202</v>
      </c>
      <c r="I202" s="5">
        <v>0</v>
      </c>
      <c r="K202" s="5">
        <v>87512</v>
      </c>
      <c r="M202" s="5">
        <v>0</v>
      </c>
      <c r="O202" s="5">
        <v>93691</v>
      </c>
      <c r="Q202" s="5">
        <f>69610+952</f>
        <v>70562</v>
      </c>
      <c r="S202" s="5">
        <v>7134</v>
      </c>
      <c r="U202" s="5">
        <v>0</v>
      </c>
      <c r="W202" s="5">
        <v>12021</v>
      </c>
      <c r="Y202" s="5">
        <v>0</v>
      </c>
      <c r="AA202" s="5">
        <v>0</v>
      </c>
      <c r="AC202" s="5">
        <f aca="true" t="shared" si="4" ref="AC202:AC260">SUM(E202:AA202)</f>
        <v>3271122</v>
      </c>
    </row>
    <row r="203" spans="1:29" s="3" customFormat="1" ht="12">
      <c r="A203" s="3" t="s">
        <v>372</v>
      </c>
      <c r="C203" s="3" t="s">
        <v>201</v>
      </c>
      <c r="E203" s="3">
        <v>1347082</v>
      </c>
      <c r="G203" s="3">
        <v>0</v>
      </c>
      <c r="I203" s="3">
        <v>0</v>
      </c>
      <c r="K203" s="3">
        <v>4334</v>
      </c>
      <c r="M203" s="3">
        <v>0</v>
      </c>
      <c r="O203" s="3">
        <v>4139</v>
      </c>
      <c r="Q203" s="3">
        <v>22491</v>
      </c>
      <c r="S203" s="3">
        <v>35892</v>
      </c>
      <c r="U203" s="3">
        <v>0</v>
      </c>
      <c r="W203" s="3">
        <v>0</v>
      </c>
      <c r="Y203" s="3">
        <v>0</v>
      </c>
      <c r="AA203" s="3">
        <v>0</v>
      </c>
      <c r="AC203" s="3">
        <f t="shared" si="4"/>
        <v>1413938</v>
      </c>
    </row>
    <row r="204" spans="1:29" s="3" customFormat="1" ht="12">
      <c r="A204" s="3" t="s">
        <v>373</v>
      </c>
      <c r="C204" s="3" t="s">
        <v>139</v>
      </c>
      <c r="E204" s="3">
        <v>0</v>
      </c>
      <c r="G204" s="3">
        <v>561622.32</v>
      </c>
      <c r="I204" s="3">
        <v>0</v>
      </c>
      <c r="K204" s="3">
        <v>21141.43</v>
      </c>
      <c r="M204" s="3">
        <v>0</v>
      </c>
      <c r="O204" s="3">
        <v>3216.09</v>
      </c>
      <c r="Q204" s="3">
        <v>5440.26</v>
      </c>
      <c r="S204" s="3">
        <v>9337.15</v>
      </c>
      <c r="U204" s="3">
        <v>0</v>
      </c>
      <c r="W204" s="3">
        <v>5000</v>
      </c>
      <c r="Y204" s="3">
        <v>0</v>
      </c>
      <c r="AA204" s="3">
        <v>0</v>
      </c>
      <c r="AC204" s="3">
        <f t="shared" si="4"/>
        <v>605757.25</v>
      </c>
    </row>
    <row r="205" spans="1:29" s="3" customFormat="1" ht="12">
      <c r="A205" s="3" t="s">
        <v>374</v>
      </c>
      <c r="C205" s="3" t="s">
        <v>375</v>
      </c>
      <c r="E205" s="3">
        <v>0</v>
      </c>
      <c r="G205" s="3">
        <v>1277518.76</v>
      </c>
      <c r="I205" s="3">
        <v>2622.41</v>
      </c>
      <c r="K205" s="3">
        <v>21099.21</v>
      </c>
      <c r="M205" s="3">
        <v>0</v>
      </c>
      <c r="O205" s="3">
        <v>12103.24</v>
      </c>
      <c r="Q205" s="3">
        <v>56948.69</v>
      </c>
      <c r="S205" s="3">
        <v>153.46</v>
      </c>
      <c r="U205" s="3">
        <v>0</v>
      </c>
      <c r="W205" s="3">
        <v>0</v>
      </c>
      <c r="Y205" s="3">
        <v>0</v>
      </c>
      <c r="AA205" s="3">
        <v>0</v>
      </c>
      <c r="AC205" s="3">
        <f t="shared" si="4"/>
        <v>1370445.7699999998</v>
      </c>
    </row>
    <row r="206" spans="1:29" s="3" customFormat="1" ht="12">
      <c r="A206" s="3" t="s">
        <v>376</v>
      </c>
      <c r="C206" s="3" t="s">
        <v>286</v>
      </c>
      <c r="E206" s="3">
        <v>0</v>
      </c>
      <c r="G206" s="3">
        <v>1079259.78</v>
      </c>
      <c r="I206" s="3">
        <v>43269.83</v>
      </c>
      <c r="K206" s="3">
        <v>22491.38</v>
      </c>
      <c r="M206" s="3">
        <v>1214.8</v>
      </c>
      <c r="O206" s="3">
        <v>39372.5</v>
      </c>
      <c r="Q206" s="3">
        <v>116492.61</v>
      </c>
      <c r="S206" s="3">
        <v>23094.67</v>
      </c>
      <c r="U206" s="3">
        <v>43</v>
      </c>
      <c r="W206" s="3">
        <v>5000</v>
      </c>
      <c r="Y206" s="3">
        <v>0</v>
      </c>
      <c r="AA206" s="3">
        <v>4001.14</v>
      </c>
      <c r="AC206" s="3">
        <f t="shared" si="4"/>
        <v>1334239.71</v>
      </c>
    </row>
    <row r="207" spans="1:29" s="3" customFormat="1" ht="12">
      <c r="A207" s="3" t="s">
        <v>377</v>
      </c>
      <c r="C207" s="3" t="s">
        <v>343</v>
      </c>
      <c r="E207" s="3">
        <v>3456721</v>
      </c>
      <c r="G207" s="3">
        <v>9948049</v>
      </c>
      <c r="I207" s="3">
        <v>431994</v>
      </c>
      <c r="K207" s="3">
        <v>276328</v>
      </c>
      <c r="M207" s="3">
        <v>38449</v>
      </c>
      <c r="O207" s="3">
        <v>39964</v>
      </c>
      <c r="Q207" s="3">
        <v>526551</v>
      </c>
      <c r="S207" s="3">
        <v>131204</v>
      </c>
      <c r="U207" s="3">
        <v>600001</v>
      </c>
      <c r="W207" s="3">
        <v>3250000</v>
      </c>
      <c r="Y207" s="3">
        <v>0</v>
      </c>
      <c r="AA207" s="3">
        <v>0</v>
      </c>
      <c r="AC207" s="3">
        <f t="shared" si="4"/>
        <v>18699261</v>
      </c>
    </row>
    <row r="208" spans="1:29" s="3" customFormat="1" ht="12">
      <c r="A208" s="3" t="s">
        <v>378</v>
      </c>
      <c r="C208" s="3" t="s">
        <v>311</v>
      </c>
      <c r="E208" s="3">
        <v>0</v>
      </c>
      <c r="G208" s="3">
        <v>389812</v>
      </c>
      <c r="I208" s="3">
        <v>0</v>
      </c>
      <c r="K208" s="3">
        <v>7219</v>
      </c>
      <c r="M208" s="3">
        <v>0</v>
      </c>
      <c r="O208" s="3">
        <v>1141</v>
      </c>
      <c r="Q208" s="3">
        <v>6112</v>
      </c>
      <c r="S208" s="3">
        <v>12566</v>
      </c>
      <c r="U208" s="3">
        <v>0</v>
      </c>
      <c r="W208" s="3">
        <v>15350</v>
      </c>
      <c r="Y208" s="3">
        <v>0</v>
      </c>
      <c r="AA208" s="3">
        <v>0</v>
      </c>
      <c r="AC208" s="3">
        <f t="shared" si="4"/>
        <v>432200</v>
      </c>
    </row>
    <row r="209" spans="1:29" s="3" customFormat="1" ht="12">
      <c r="A209" s="3" t="s">
        <v>379</v>
      </c>
      <c r="C209" s="3" t="s">
        <v>154</v>
      </c>
      <c r="E209" s="3">
        <v>0</v>
      </c>
      <c r="G209" s="3">
        <v>109579.42</v>
      </c>
      <c r="I209" s="3">
        <v>0</v>
      </c>
      <c r="K209" s="3">
        <v>1590.64</v>
      </c>
      <c r="M209" s="3">
        <v>0</v>
      </c>
      <c r="O209" s="3">
        <v>659.58</v>
      </c>
      <c r="Q209" s="3">
        <v>1088.16</v>
      </c>
      <c r="S209" s="3">
        <v>458.9</v>
      </c>
      <c r="U209" s="3">
        <v>0</v>
      </c>
      <c r="W209" s="3">
        <v>0</v>
      </c>
      <c r="Y209" s="3">
        <v>0</v>
      </c>
      <c r="AA209" s="3">
        <v>0</v>
      </c>
      <c r="AC209" s="3">
        <f t="shared" si="4"/>
        <v>113376.7</v>
      </c>
    </row>
    <row r="210" spans="1:29" s="3" customFormat="1" ht="12">
      <c r="A210" s="3" t="s">
        <v>380</v>
      </c>
      <c r="C210" s="3" t="s">
        <v>278</v>
      </c>
      <c r="E210" s="3">
        <v>0</v>
      </c>
      <c r="G210" s="3">
        <v>594141.2</v>
      </c>
      <c r="I210" s="3">
        <v>0</v>
      </c>
      <c r="K210" s="3">
        <v>37281.78</v>
      </c>
      <c r="M210" s="3">
        <v>0</v>
      </c>
      <c r="O210" s="3">
        <v>53803.11</v>
      </c>
      <c r="Q210" s="3">
        <v>84436.67</v>
      </c>
      <c r="S210" s="3">
        <v>22907.6</v>
      </c>
      <c r="U210" s="3">
        <v>0</v>
      </c>
      <c r="W210" s="3">
        <v>365000</v>
      </c>
      <c r="Y210" s="3">
        <v>0</v>
      </c>
      <c r="AA210" s="3">
        <v>0</v>
      </c>
      <c r="AC210" s="3">
        <f t="shared" si="4"/>
        <v>1157570.3599999999</v>
      </c>
    </row>
    <row r="211" spans="1:29" s="3" customFormat="1" ht="12">
      <c r="A211" s="3" t="s">
        <v>381</v>
      </c>
      <c r="C211" s="3" t="s">
        <v>136</v>
      </c>
      <c r="E211" s="3">
        <v>0</v>
      </c>
      <c r="G211" s="3">
        <v>182358.96</v>
      </c>
      <c r="I211" s="3">
        <v>2225.96</v>
      </c>
      <c r="K211" s="3">
        <v>10180.85</v>
      </c>
      <c r="M211" s="3">
        <v>0</v>
      </c>
      <c r="O211" s="3">
        <v>253.9</v>
      </c>
      <c r="Q211" s="3">
        <v>56433.74</v>
      </c>
      <c r="S211" s="3">
        <v>563.96</v>
      </c>
      <c r="U211" s="3">
        <v>0</v>
      </c>
      <c r="W211" s="3">
        <v>22</v>
      </c>
      <c r="Y211" s="3">
        <v>0</v>
      </c>
      <c r="AA211" s="3">
        <v>0</v>
      </c>
      <c r="AC211" s="3">
        <f t="shared" si="4"/>
        <v>252039.36999999997</v>
      </c>
    </row>
    <row r="212" spans="1:29" s="3" customFormat="1" ht="12">
      <c r="A212" s="3" t="s">
        <v>382</v>
      </c>
      <c r="C212" s="3" t="s">
        <v>143</v>
      </c>
      <c r="E212" s="3">
        <v>0</v>
      </c>
      <c r="G212" s="3">
        <v>192516.36</v>
      </c>
      <c r="I212" s="3">
        <v>0</v>
      </c>
      <c r="K212" s="3">
        <v>2002.91</v>
      </c>
      <c r="M212" s="3">
        <v>0</v>
      </c>
      <c r="O212" s="3">
        <v>1375</v>
      </c>
      <c r="Q212" s="3">
        <v>2188.71</v>
      </c>
      <c r="S212" s="3">
        <v>585.46</v>
      </c>
      <c r="U212" s="3">
        <v>0</v>
      </c>
      <c r="W212" s="3">
        <v>0</v>
      </c>
      <c r="Y212" s="3">
        <v>0</v>
      </c>
      <c r="AA212" s="3">
        <v>0</v>
      </c>
      <c r="AC212" s="3">
        <f t="shared" si="4"/>
        <v>198668.43999999997</v>
      </c>
    </row>
    <row r="213" spans="1:29" s="3" customFormat="1" ht="12">
      <c r="A213" s="3" t="s">
        <v>383</v>
      </c>
      <c r="C213" s="3" t="s">
        <v>110</v>
      </c>
      <c r="E213" s="3">
        <v>3236932</v>
      </c>
      <c r="G213" s="3">
        <v>815919</v>
      </c>
      <c r="I213" s="3">
        <v>356582</v>
      </c>
      <c r="K213" s="3">
        <v>48399</v>
      </c>
      <c r="M213" s="3">
        <v>0</v>
      </c>
      <c r="O213" s="3">
        <v>26292</v>
      </c>
      <c r="Q213" s="3">
        <v>355482</v>
      </c>
      <c r="S213" s="3">
        <v>7199</v>
      </c>
      <c r="U213" s="3">
        <v>0</v>
      </c>
      <c r="W213" s="3">
        <v>0</v>
      </c>
      <c r="Y213" s="3">
        <v>0</v>
      </c>
      <c r="AA213" s="3">
        <v>0</v>
      </c>
      <c r="AC213" s="3">
        <f t="shared" si="4"/>
        <v>4846805</v>
      </c>
    </row>
    <row r="214" spans="1:29" s="3" customFormat="1" ht="12">
      <c r="A214" s="3" t="s">
        <v>384</v>
      </c>
      <c r="C214" s="3" t="s">
        <v>116</v>
      </c>
      <c r="E214" s="3">
        <v>1810601</v>
      </c>
      <c r="G214" s="3">
        <v>0</v>
      </c>
      <c r="I214" s="3">
        <v>4553</v>
      </c>
      <c r="K214" s="3">
        <v>26144</v>
      </c>
      <c r="M214" s="3">
        <v>0</v>
      </c>
      <c r="O214" s="3">
        <v>78239</v>
      </c>
      <c r="Q214" s="3">
        <v>95290</v>
      </c>
      <c r="S214" s="3">
        <v>12645</v>
      </c>
      <c r="U214" s="3">
        <v>0</v>
      </c>
      <c r="W214" s="3">
        <v>0</v>
      </c>
      <c r="Y214" s="3">
        <v>0</v>
      </c>
      <c r="AA214" s="3">
        <v>0</v>
      </c>
      <c r="AC214" s="3">
        <f t="shared" si="4"/>
        <v>2027472</v>
      </c>
    </row>
    <row r="215" spans="1:29" s="3" customFormat="1" ht="12">
      <c r="A215" s="3" t="s">
        <v>385</v>
      </c>
      <c r="C215" s="3" t="s">
        <v>158</v>
      </c>
      <c r="E215" s="3">
        <v>399527</v>
      </c>
      <c r="G215" s="3">
        <v>630470</v>
      </c>
      <c r="I215" s="3">
        <v>28680</v>
      </c>
      <c r="K215" s="3">
        <v>19933</v>
      </c>
      <c r="M215" s="3">
        <v>0</v>
      </c>
      <c r="O215" s="3">
        <v>45</v>
      </c>
      <c r="Q215" s="3">
        <v>24320</v>
      </c>
      <c r="S215" s="3">
        <v>5230</v>
      </c>
      <c r="U215" s="3">
        <v>0</v>
      </c>
      <c r="W215" s="3">
        <v>0</v>
      </c>
      <c r="Y215" s="3">
        <v>0</v>
      </c>
      <c r="AA215" s="3">
        <v>0</v>
      </c>
      <c r="AC215" s="3">
        <f t="shared" si="4"/>
        <v>1108205</v>
      </c>
    </row>
    <row r="216" spans="1:29" s="3" customFormat="1" ht="12">
      <c r="A216" s="3" t="s">
        <v>386</v>
      </c>
      <c r="C216" s="3" t="s">
        <v>162</v>
      </c>
      <c r="E216" s="3">
        <v>0</v>
      </c>
      <c r="G216" s="3">
        <v>0</v>
      </c>
      <c r="I216" s="3">
        <v>249261.83</v>
      </c>
      <c r="K216" s="3">
        <v>2178.93</v>
      </c>
      <c r="M216" s="3">
        <v>0</v>
      </c>
      <c r="O216" s="3">
        <v>700</v>
      </c>
      <c r="Q216" s="3">
        <v>8093.34</v>
      </c>
      <c r="S216" s="3">
        <v>1219.56</v>
      </c>
      <c r="U216" s="3">
        <v>632.95</v>
      </c>
      <c r="W216" s="3">
        <v>0</v>
      </c>
      <c r="Y216" s="3">
        <v>0</v>
      </c>
      <c r="AA216" s="3">
        <v>0</v>
      </c>
      <c r="AC216" s="3">
        <f t="shared" si="4"/>
        <v>262086.61</v>
      </c>
    </row>
    <row r="217" spans="1:29" s="3" customFormat="1" ht="12">
      <c r="A217" s="3" t="s">
        <v>387</v>
      </c>
      <c r="C217" s="3" t="s">
        <v>155</v>
      </c>
      <c r="E217" s="3">
        <v>0</v>
      </c>
      <c r="G217" s="3">
        <v>311660.26</v>
      </c>
      <c r="I217" s="3">
        <v>708</v>
      </c>
      <c r="K217" s="3">
        <v>15262.79</v>
      </c>
      <c r="M217" s="3">
        <v>0</v>
      </c>
      <c r="O217" s="3">
        <v>5202.12</v>
      </c>
      <c r="Q217" s="3">
        <v>11320.44</v>
      </c>
      <c r="S217" s="3">
        <v>0</v>
      </c>
      <c r="U217" s="3">
        <v>0</v>
      </c>
      <c r="W217" s="3">
        <v>0</v>
      </c>
      <c r="Y217" s="3">
        <v>0</v>
      </c>
      <c r="AA217" s="3">
        <v>0</v>
      </c>
      <c r="AC217" s="3">
        <f t="shared" si="4"/>
        <v>344153.61</v>
      </c>
    </row>
    <row r="218" spans="1:29" s="3" customFormat="1" ht="12">
      <c r="A218" s="3" t="s">
        <v>388</v>
      </c>
      <c r="C218" s="3" t="s">
        <v>144</v>
      </c>
      <c r="E218" s="3">
        <v>0</v>
      </c>
      <c r="G218" s="3">
        <v>0</v>
      </c>
      <c r="I218" s="3">
        <v>922268</v>
      </c>
      <c r="K218" s="3">
        <v>28829</v>
      </c>
      <c r="M218" s="3">
        <v>0</v>
      </c>
      <c r="O218" s="3">
        <v>26268</v>
      </c>
      <c r="Q218" s="3">
        <f>16740+1311+16616</f>
        <v>34667</v>
      </c>
      <c r="S218" s="3">
        <v>726</v>
      </c>
      <c r="U218" s="3">
        <v>0</v>
      </c>
      <c r="W218" s="3">
        <v>10333</v>
      </c>
      <c r="Y218" s="3">
        <v>0</v>
      </c>
      <c r="AA218" s="3">
        <v>0</v>
      </c>
      <c r="AC218" s="3">
        <f t="shared" si="4"/>
        <v>1023091</v>
      </c>
    </row>
    <row r="219" spans="1:29" s="3" customFormat="1" ht="12">
      <c r="A219" s="3" t="s">
        <v>389</v>
      </c>
      <c r="C219" s="3" t="s">
        <v>147</v>
      </c>
      <c r="E219" s="3">
        <v>0</v>
      </c>
      <c r="G219" s="3">
        <v>708942</v>
      </c>
      <c r="I219" s="3">
        <v>0</v>
      </c>
      <c r="K219" s="3">
        <v>9438</v>
      </c>
      <c r="M219" s="3">
        <v>0</v>
      </c>
      <c r="O219" s="3">
        <v>856</v>
      </c>
      <c r="Q219" s="3">
        <v>2758</v>
      </c>
      <c r="S219" s="3">
        <v>1482</v>
      </c>
      <c r="U219" s="3">
        <v>0</v>
      </c>
      <c r="W219" s="3">
        <v>0</v>
      </c>
      <c r="Y219" s="3">
        <v>0</v>
      </c>
      <c r="AA219" s="3">
        <v>0</v>
      </c>
      <c r="AC219" s="3">
        <f t="shared" si="4"/>
        <v>723476</v>
      </c>
    </row>
    <row r="220" spans="1:29" s="3" customFormat="1" ht="12">
      <c r="A220" s="3" t="s">
        <v>390</v>
      </c>
      <c r="C220" s="3" t="s">
        <v>278</v>
      </c>
      <c r="E220" s="3">
        <v>681401</v>
      </c>
      <c r="G220" s="3">
        <v>1840682</v>
      </c>
      <c r="I220" s="3">
        <v>0</v>
      </c>
      <c r="K220" s="3">
        <v>94761</v>
      </c>
      <c r="M220" s="3">
        <v>1048</v>
      </c>
      <c r="O220" s="3">
        <v>43086</v>
      </c>
      <c r="Q220" s="3">
        <f>46597+89+21</f>
        <v>46707</v>
      </c>
      <c r="S220" s="3">
        <v>23010</v>
      </c>
      <c r="U220" s="3">
        <v>0</v>
      </c>
      <c r="W220" s="3">
        <v>42767</v>
      </c>
      <c r="Y220" s="3">
        <v>0</v>
      </c>
      <c r="AA220" s="3">
        <v>0</v>
      </c>
      <c r="AC220" s="3">
        <f t="shared" si="4"/>
        <v>2773462</v>
      </c>
    </row>
    <row r="221" spans="1:29" s="3" customFormat="1" ht="12">
      <c r="A221" s="3" t="s">
        <v>391</v>
      </c>
      <c r="C221" s="3" t="s">
        <v>161</v>
      </c>
      <c r="E221" s="3">
        <v>0</v>
      </c>
      <c r="G221" s="3">
        <v>260969.57</v>
      </c>
      <c r="I221" s="3">
        <v>0</v>
      </c>
      <c r="K221" s="3">
        <v>13417.91</v>
      </c>
      <c r="M221" s="3">
        <v>0</v>
      </c>
      <c r="O221" s="3">
        <v>365</v>
      </c>
      <c r="Q221" s="3">
        <v>9143.37</v>
      </c>
      <c r="S221" s="3">
        <v>0</v>
      </c>
      <c r="U221" s="3">
        <v>0</v>
      </c>
      <c r="W221" s="3">
        <v>0</v>
      </c>
      <c r="Y221" s="3">
        <v>0</v>
      </c>
      <c r="AA221" s="3">
        <v>0</v>
      </c>
      <c r="AC221" s="3">
        <f t="shared" si="4"/>
        <v>283895.85</v>
      </c>
    </row>
    <row r="222" spans="1:29" s="3" customFormat="1" ht="12">
      <c r="A222" s="3" t="s">
        <v>392</v>
      </c>
      <c r="C222" s="3" t="s">
        <v>138</v>
      </c>
      <c r="E222" s="3">
        <v>0</v>
      </c>
      <c r="G222" s="3">
        <v>168773.23</v>
      </c>
      <c r="I222" s="3">
        <v>0</v>
      </c>
      <c r="K222" s="3">
        <v>2143.43</v>
      </c>
      <c r="M222" s="3">
        <v>0</v>
      </c>
      <c r="O222" s="3">
        <v>18658.97</v>
      </c>
      <c r="Q222" s="3">
        <v>1079.43</v>
      </c>
      <c r="S222" s="3">
        <v>1140.48</v>
      </c>
      <c r="U222" s="3">
        <v>0</v>
      </c>
      <c r="W222" s="3">
        <v>9575.52</v>
      </c>
      <c r="Y222" s="3">
        <v>0</v>
      </c>
      <c r="AA222" s="3">
        <v>0</v>
      </c>
      <c r="AC222" s="3">
        <f t="shared" si="4"/>
        <v>201371.06</v>
      </c>
    </row>
    <row r="223" spans="1:29" s="3" customFormat="1" ht="12">
      <c r="A223" s="3" t="s">
        <v>393</v>
      </c>
      <c r="C223" s="3" t="s">
        <v>110</v>
      </c>
      <c r="E223" s="3">
        <v>3122699</v>
      </c>
      <c r="G223" s="3">
        <v>1849598</v>
      </c>
      <c r="I223" s="3">
        <v>0</v>
      </c>
      <c r="K223" s="3">
        <v>129169</v>
      </c>
      <c r="M223" s="3">
        <v>0</v>
      </c>
      <c r="O223" s="3">
        <v>3060</v>
      </c>
      <c r="Q223" s="3">
        <v>81902</v>
      </c>
      <c r="S223" s="3">
        <v>71426</v>
      </c>
      <c r="U223" s="3">
        <v>0</v>
      </c>
      <c r="W223" s="3">
        <f>73247+179727</f>
        <v>252974</v>
      </c>
      <c r="Y223" s="3">
        <v>0</v>
      </c>
      <c r="AA223" s="3">
        <v>0</v>
      </c>
      <c r="AC223" s="3">
        <f t="shared" si="4"/>
        <v>5510828</v>
      </c>
    </row>
    <row r="224" spans="1:29" s="3" customFormat="1" ht="12">
      <c r="A224" s="3" t="s">
        <v>394</v>
      </c>
      <c r="C224" s="3" t="s">
        <v>205</v>
      </c>
      <c r="E224" s="3">
        <v>0</v>
      </c>
      <c r="G224" s="3">
        <v>0</v>
      </c>
      <c r="I224" s="3">
        <v>84978</v>
      </c>
      <c r="K224" s="3">
        <v>0</v>
      </c>
      <c r="M224" s="3">
        <v>59755</v>
      </c>
      <c r="O224" s="3">
        <v>0</v>
      </c>
      <c r="Q224" s="3">
        <v>857</v>
      </c>
      <c r="S224" s="3">
        <v>0</v>
      </c>
      <c r="U224" s="3">
        <v>0</v>
      </c>
      <c r="W224" s="3">
        <v>3880</v>
      </c>
      <c r="Y224" s="3">
        <v>0</v>
      </c>
      <c r="AA224" s="3">
        <v>0</v>
      </c>
      <c r="AC224" s="3">
        <f t="shared" si="4"/>
        <v>149470</v>
      </c>
    </row>
    <row r="225" spans="1:29" s="3" customFormat="1" ht="12">
      <c r="A225" s="3" t="s">
        <v>395</v>
      </c>
      <c r="C225" s="3" t="s">
        <v>188</v>
      </c>
      <c r="E225" s="3">
        <v>0</v>
      </c>
      <c r="G225" s="3">
        <v>4124950</v>
      </c>
      <c r="I225" s="3">
        <v>0</v>
      </c>
      <c r="K225" s="3">
        <v>154618</v>
      </c>
      <c r="M225" s="3">
        <v>0</v>
      </c>
      <c r="O225" s="3">
        <v>10860</v>
      </c>
      <c r="Q225" s="3">
        <v>57546</v>
      </c>
      <c r="S225" s="3">
        <v>27968</v>
      </c>
      <c r="U225" s="3">
        <v>0</v>
      </c>
      <c r="W225" s="3">
        <v>100000</v>
      </c>
      <c r="Y225" s="3">
        <v>0</v>
      </c>
      <c r="AA225" s="3">
        <v>0</v>
      </c>
      <c r="AC225" s="3">
        <f t="shared" si="4"/>
        <v>4475942</v>
      </c>
    </row>
    <row r="226" spans="1:29" s="3" customFormat="1" ht="12">
      <c r="A226" s="3" t="s">
        <v>396</v>
      </c>
      <c r="C226" s="3" t="s">
        <v>137</v>
      </c>
      <c r="E226" s="3">
        <v>0</v>
      </c>
      <c r="G226" s="3">
        <v>532294.88</v>
      </c>
      <c r="I226" s="3">
        <v>0</v>
      </c>
      <c r="K226" s="3">
        <v>12161.79</v>
      </c>
      <c r="M226" s="3">
        <v>0</v>
      </c>
      <c r="O226" s="3">
        <v>3968.75</v>
      </c>
      <c r="Q226" s="3">
        <v>12.27</v>
      </c>
      <c r="S226" s="3">
        <v>1795.97</v>
      </c>
      <c r="U226" s="3">
        <v>0</v>
      </c>
      <c r="W226" s="3">
        <v>0</v>
      </c>
      <c r="Y226" s="3">
        <v>0</v>
      </c>
      <c r="AA226" s="3">
        <v>0</v>
      </c>
      <c r="AC226" s="3">
        <f t="shared" si="4"/>
        <v>550233.66</v>
      </c>
    </row>
    <row r="227" spans="1:29" s="3" customFormat="1" ht="12">
      <c r="A227" s="3" t="s">
        <v>397</v>
      </c>
      <c r="C227" s="3" t="s">
        <v>104</v>
      </c>
      <c r="E227" s="3">
        <v>0</v>
      </c>
      <c r="G227" s="3">
        <v>513815.96</v>
      </c>
      <c r="I227" s="3">
        <v>0</v>
      </c>
      <c r="K227" s="3">
        <v>11860.76</v>
      </c>
      <c r="M227" s="3">
        <v>0</v>
      </c>
      <c r="O227" s="3">
        <v>9449</v>
      </c>
      <c r="Q227" s="3">
        <v>29756</v>
      </c>
      <c r="S227" s="3">
        <v>5165.19</v>
      </c>
      <c r="U227" s="3">
        <v>0</v>
      </c>
      <c r="W227" s="3">
        <v>0</v>
      </c>
      <c r="Y227" s="3">
        <v>0</v>
      </c>
      <c r="AA227" s="3">
        <v>0</v>
      </c>
      <c r="AC227" s="3">
        <f t="shared" si="4"/>
        <v>570046.9099999999</v>
      </c>
    </row>
    <row r="228" spans="1:29" s="3" customFormat="1" ht="12">
      <c r="A228" s="3" t="s">
        <v>398</v>
      </c>
      <c r="C228" s="3" t="s">
        <v>116</v>
      </c>
      <c r="E228" s="3">
        <v>4358475</v>
      </c>
      <c r="G228" s="3">
        <v>8247623</v>
      </c>
      <c r="I228" s="3">
        <v>632088</v>
      </c>
      <c r="K228" s="3">
        <v>221738</v>
      </c>
      <c r="M228" s="3">
        <v>20699</v>
      </c>
      <c r="O228" s="3">
        <v>247673</v>
      </c>
      <c r="Q228" s="3">
        <v>367830</v>
      </c>
      <c r="S228" s="3">
        <v>588490</v>
      </c>
      <c r="U228" s="3">
        <v>0</v>
      </c>
      <c r="W228" s="3">
        <v>927</v>
      </c>
      <c r="Y228" s="3">
        <v>0</v>
      </c>
      <c r="AA228" s="3">
        <v>0</v>
      </c>
      <c r="AC228" s="3">
        <f t="shared" si="4"/>
        <v>14685543</v>
      </c>
    </row>
    <row r="229" spans="1:29" s="3" customFormat="1" ht="12">
      <c r="A229" s="3" t="s">
        <v>399</v>
      </c>
      <c r="C229" s="3" t="s">
        <v>400</v>
      </c>
      <c r="E229" s="3">
        <v>0</v>
      </c>
      <c r="G229" s="3">
        <v>2957495</v>
      </c>
      <c r="I229" s="3">
        <v>0</v>
      </c>
      <c r="K229" s="3">
        <v>71916</v>
      </c>
      <c r="M229" s="3">
        <v>0</v>
      </c>
      <c r="O229" s="3">
        <v>3862</v>
      </c>
      <c r="Q229" s="3">
        <f>140553+21407</f>
        <v>161960</v>
      </c>
      <c r="S229" s="3">
        <f>12235+18720</f>
        <v>30955</v>
      </c>
      <c r="U229" s="3">
        <v>0</v>
      </c>
      <c r="W229" s="3">
        <v>0</v>
      </c>
      <c r="Y229" s="3">
        <v>0</v>
      </c>
      <c r="AA229" s="3">
        <v>0</v>
      </c>
      <c r="AC229" s="3">
        <f t="shared" si="4"/>
        <v>3226188</v>
      </c>
    </row>
    <row r="230" spans="1:29" s="3" customFormat="1" ht="12">
      <c r="A230" s="3" t="s">
        <v>401</v>
      </c>
      <c r="C230" s="3" t="s">
        <v>113</v>
      </c>
      <c r="E230" s="12">
        <v>910062</v>
      </c>
      <c r="F230" s="12"/>
      <c r="G230" s="12">
        <v>0</v>
      </c>
      <c r="H230" s="12"/>
      <c r="I230" s="12">
        <v>1387272</v>
      </c>
      <c r="J230" s="12"/>
      <c r="K230" s="12">
        <v>97510</v>
      </c>
      <c r="L230" s="12"/>
      <c r="M230" s="12">
        <v>0</v>
      </c>
      <c r="N230" s="12"/>
      <c r="O230" s="12">
        <v>1658</v>
      </c>
      <c r="P230" s="12"/>
      <c r="Q230" s="12">
        <v>35548</v>
      </c>
      <c r="R230" s="12"/>
      <c r="S230" s="12">
        <v>4594</v>
      </c>
      <c r="T230" s="12"/>
      <c r="U230" s="12">
        <v>0</v>
      </c>
      <c r="V230" s="12"/>
      <c r="W230" s="12">
        <v>0</v>
      </c>
      <c r="X230" s="12"/>
      <c r="Y230" s="12">
        <v>0</v>
      </c>
      <c r="Z230" s="12"/>
      <c r="AA230" s="12">
        <v>0</v>
      </c>
      <c r="AC230" s="3">
        <f t="shared" si="4"/>
        <v>2436644</v>
      </c>
    </row>
    <row r="231" spans="1:29" s="3" customFormat="1" ht="12">
      <c r="A231" s="3" t="s">
        <v>402</v>
      </c>
      <c r="C231" s="3" t="s">
        <v>135</v>
      </c>
      <c r="E231" s="3">
        <v>0</v>
      </c>
      <c r="G231" s="3">
        <v>353281.05</v>
      </c>
      <c r="I231" s="3">
        <v>0</v>
      </c>
      <c r="K231" s="3">
        <v>13457.8</v>
      </c>
      <c r="M231" s="3">
        <v>0</v>
      </c>
      <c r="O231" s="3">
        <v>15943.35</v>
      </c>
      <c r="Q231" s="3">
        <v>7562.61</v>
      </c>
      <c r="S231" s="3">
        <v>1768.14</v>
      </c>
      <c r="U231" s="3">
        <v>0</v>
      </c>
      <c r="W231" s="3">
        <v>19610.64</v>
      </c>
      <c r="Y231" s="3">
        <v>0</v>
      </c>
      <c r="AA231" s="3">
        <v>0</v>
      </c>
      <c r="AC231" s="3">
        <f t="shared" si="4"/>
        <v>411623.58999999997</v>
      </c>
    </row>
    <row r="232" spans="1:29" s="3" customFormat="1" ht="12">
      <c r="A232" s="3" t="s">
        <v>403</v>
      </c>
      <c r="C232" s="3" t="s">
        <v>282</v>
      </c>
      <c r="E232" s="3">
        <v>0</v>
      </c>
      <c r="G232" s="3">
        <v>442394.18</v>
      </c>
      <c r="I232" s="3">
        <v>4612</v>
      </c>
      <c r="K232" s="3">
        <v>11830.4</v>
      </c>
      <c r="M232" s="3">
        <v>0</v>
      </c>
      <c r="O232" s="3">
        <v>4637.06</v>
      </c>
      <c r="Q232" s="3">
        <v>61095.23</v>
      </c>
      <c r="S232" s="3">
        <v>1778.26</v>
      </c>
      <c r="U232" s="3">
        <v>0</v>
      </c>
      <c r="W232" s="3">
        <v>0</v>
      </c>
      <c r="Y232" s="3">
        <v>0</v>
      </c>
      <c r="AA232" s="3">
        <v>0</v>
      </c>
      <c r="AC232" s="3">
        <f t="shared" si="4"/>
        <v>526347.13</v>
      </c>
    </row>
    <row r="233" spans="1:29" s="3" customFormat="1" ht="12">
      <c r="A233" s="3" t="s">
        <v>404</v>
      </c>
      <c r="C233" s="3" t="s">
        <v>113</v>
      </c>
      <c r="E233" s="3">
        <v>1608560</v>
      </c>
      <c r="G233" s="3">
        <v>0</v>
      </c>
      <c r="I233" s="3">
        <v>0</v>
      </c>
      <c r="K233" s="3">
        <v>26469</v>
      </c>
      <c r="M233" s="3">
        <v>0</v>
      </c>
      <c r="O233" s="3">
        <v>0</v>
      </c>
      <c r="Q233" s="3">
        <f>2696+83961</f>
        <v>86657</v>
      </c>
      <c r="S233" s="3">
        <v>4256</v>
      </c>
      <c r="U233" s="3">
        <v>0</v>
      </c>
      <c r="W233" s="3">
        <v>0</v>
      </c>
      <c r="Y233" s="3">
        <v>0</v>
      </c>
      <c r="AA233" s="3">
        <v>0</v>
      </c>
      <c r="AC233" s="3">
        <f t="shared" si="4"/>
        <v>1725942</v>
      </c>
    </row>
    <row r="234" spans="1:29" s="3" customFormat="1" ht="12">
      <c r="A234" s="3" t="s">
        <v>405</v>
      </c>
      <c r="C234" s="3" t="s">
        <v>138</v>
      </c>
      <c r="E234" s="3">
        <v>1168973</v>
      </c>
      <c r="G234" s="3">
        <v>0</v>
      </c>
      <c r="I234" s="3">
        <v>0</v>
      </c>
      <c r="K234" s="3">
        <v>44363</v>
      </c>
      <c r="M234" s="3">
        <v>0</v>
      </c>
      <c r="O234" s="3">
        <v>54263</v>
      </c>
      <c r="Q234" s="3">
        <v>84836</v>
      </c>
      <c r="S234" s="3">
        <v>2099</v>
      </c>
      <c r="U234" s="3">
        <v>0</v>
      </c>
      <c r="W234" s="3">
        <v>0</v>
      </c>
      <c r="Y234" s="3">
        <v>0</v>
      </c>
      <c r="AA234" s="3">
        <v>0</v>
      </c>
      <c r="AC234" s="3">
        <f t="shared" si="4"/>
        <v>1354534</v>
      </c>
    </row>
    <row r="235" spans="1:29" s="3" customFormat="1" ht="12">
      <c r="A235" s="3" t="s">
        <v>406</v>
      </c>
      <c r="C235" s="3" t="s">
        <v>407</v>
      </c>
      <c r="E235" s="3">
        <v>14247463</v>
      </c>
      <c r="G235" s="3">
        <v>0</v>
      </c>
      <c r="I235" s="3">
        <v>20381135</v>
      </c>
      <c r="K235" s="3">
        <v>831154</v>
      </c>
      <c r="M235" s="3">
        <v>1291</v>
      </c>
      <c r="O235" s="3">
        <v>190890</v>
      </c>
      <c r="Q235" s="3">
        <v>498034</v>
      </c>
      <c r="S235" s="3">
        <v>369000</v>
      </c>
      <c r="U235" s="3">
        <v>0</v>
      </c>
      <c r="W235" s="3">
        <v>1400000</v>
      </c>
      <c r="Y235" s="3">
        <v>0</v>
      </c>
      <c r="AA235" s="3">
        <v>12667</v>
      </c>
      <c r="AC235" s="3">
        <f t="shared" si="4"/>
        <v>37931634</v>
      </c>
    </row>
    <row r="236" spans="1:29" s="3" customFormat="1" ht="12">
      <c r="A236" s="2" t="s">
        <v>514</v>
      </c>
      <c r="C236" s="3" t="s">
        <v>146</v>
      </c>
      <c r="E236" s="3">
        <v>0</v>
      </c>
      <c r="G236" s="3">
        <v>595418</v>
      </c>
      <c r="I236" s="3">
        <v>0</v>
      </c>
      <c r="K236" s="3">
        <v>18715</v>
      </c>
      <c r="M236" s="3">
        <v>0</v>
      </c>
      <c r="O236" s="3">
        <v>11325</v>
      </c>
      <c r="Q236" s="3">
        <v>17859</v>
      </c>
      <c r="S236" s="3">
        <v>8023</v>
      </c>
      <c r="U236" s="3">
        <v>0</v>
      </c>
      <c r="W236" s="3">
        <v>22173</v>
      </c>
      <c r="Y236" s="3">
        <v>0</v>
      </c>
      <c r="AA236" s="3">
        <v>0</v>
      </c>
      <c r="AC236" s="3">
        <f t="shared" si="4"/>
        <v>673513</v>
      </c>
    </row>
    <row r="237" spans="1:29" s="3" customFormat="1" ht="12">
      <c r="A237" s="3" t="s">
        <v>408</v>
      </c>
      <c r="C237" s="3" t="s">
        <v>117</v>
      </c>
      <c r="E237" s="3">
        <v>416331</v>
      </c>
      <c r="G237" s="3">
        <v>0</v>
      </c>
      <c r="I237" s="3">
        <v>1620841</v>
      </c>
      <c r="K237" s="3">
        <v>43024</v>
      </c>
      <c r="M237" s="3">
        <v>0</v>
      </c>
      <c r="O237" s="3">
        <v>18633</v>
      </c>
      <c r="Q237" s="3">
        <v>38208</v>
      </c>
      <c r="S237" s="3">
        <v>2064</v>
      </c>
      <c r="U237" s="3">
        <v>0</v>
      </c>
      <c r="W237" s="3">
        <v>0</v>
      </c>
      <c r="Y237" s="3">
        <v>0</v>
      </c>
      <c r="AA237" s="3">
        <v>0</v>
      </c>
      <c r="AC237" s="3">
        <f t="shared" si="4"/>
        <v>2139101</v>
      </c>
    </row>
    <row r="238" spans="1:29" s="3" customFormat="1" ht="12">
      <c r="A238" s="3" t="s">
        <v>409</v>
      </c>
      <c r="C238" s="3" t="s">
        <v>113</v>
      </c>
      <c r="E238" s="3">
        <v>783413</v>
      </c>
      <c r="G238" s="3">
        <v>1343418</v>
      </c>
      <c r="I238" s="3">
        <v>116397</v>
      </c>
      <c r="K238" s="3">
        <v>78393</v>
      </c>
      <c r="M238" s="3">
        <v>0</v>
      </c>
      <c r="O238" s="3">
        <v>16079</v>
      </c>
      <c r="Q238" s="3">
        <v>50960</v>
      </c>
      <c r="S238" s="3">
        <v>2287</v>
      </c>
      <c r="U238" s="3">
        <v>0</v>
      </c>
      <c r="W238" s="3">
        <v>0</v>
      </c>
      <c r="Y238" s="3">
        <v>0</v>
      </c>
      <c r="AA238" s="3">
        <v>0</v>
      </c>
      <c r="AC238" s="3">
        <f t="shared" si="4"/>
        <v>2390947</v>
      </c>
    </row>
    <row r="239" spans="1:29" s="3" customFormat="1" ht="12">
      <c r="A239" s="3" t="s">
        <v>410</v>
      </c>
      <c r="C239" s="3" t="s">
        <v>140</v>
      </c>
      <c r="E239" s="3">
        <v>0</v>
      </c>
      <c r="G239" s="3">
        <v>531630</v>
      </c>
      <c r="I239" s="3">
        <v>0</v>
      </c>
      <c r="K239" s="3">
        <v>13830</v>
      </c>
      <c r="M239" s="3">
        <v>0</v>
      </c>
      <c r="O239" s="3">
        <v>750</v>
      </c>
      <c r="Q239" s="3">
        <v>843</v>
      </c>
      <c r="S239" s="3">
        <v>10205</v>
      </c>
      <c r="U239" s="3">
        <v>0</v>
      </c>
      <c r="W239" s="3">
        <v>0</v>
      </c>
      <c r="Y239" s="3">
        <v>0</v>
      </c>
      <c r="AA239" s="3">
        <v>0</v>
      </c>
      <c r="AC239" s="3">
        <f t="shared" si="4"/>
        <v>557258</v>
      </c>
    </row>
    <row r="240" spans="1:29" s="3" customFormat="1" ht="12">
      <c r="A240" s="3" t="s">
        <v>411</v>
      </c>
      <c r="C240" s="3" t="s">
        <v>188</v>
      </c>
      <c r="E240" s="3">
        <v>2001574</v>
      </c>
      <c r="G240" s="3">
        <v>3200659</v>
      </c>
      <c r="I240" s="3">
        <v>256129</v>
      </c>
      <c r="K240" s="3">
        <v>191470</v>
      </c>
      <c r="M240" s="3">
        <v>0</v>
      </c>
      <c r="O240" s="3">
        <v>708015</v>
      </c>
      <c r="Q240" s="3">
        <v>168700</v>
      </c>
      <c r="S240" s="3">
        <v>22403</v>
      </c>
      <c r="U240" s="3">
        <v>0</v>
      </c>
      <c r="W240" s="3">
        <v>291500</v>
      </c>
      <c r="Y240" s="3">
        <v>0</v>
      </c>
      <c r="AA240" s="3">
        <v>0</v>
      </c>
      <c r="AC240" s="3">
        <f t="shared" si="4"/>
        <v>6840450</v>
      </c>
    </row>
    <row r="241" spans="1:29" s="3" customFormat="1" ht="12">
      <c r="A241" s="3" t="s">
        <v>412</v>
      </c>
      <c r="C241" s="3" t="s">
        <v>156</v>
      </c>
      <c r="E241" s="3">
        <v>0</v>
      </c>
      <c r="G241" s="3">
        <v>337199</v>
      </c>
      <c r="I241" s="3">
        <v>0</v>
      </c>
      <c r="K241" s="3">
        <v>13139</v>
      </c>
      <c r="M241" s="3">
        <v>0</v>
      </c>
      <c r="O241" s="3">
        <v>4604</v>
      </c>
      <c r="Q241" s="3">
        <v>26244</v>
      </c>
      <c r="S241" s="3">
        <v>185</v>
      </c>
      <c r="U241" s="3">
        <v>0</v>
      </c>
      <c r="W241" s="3">
        <v>0</v>
      </c>
      <c r="Y241" s="3">
        <v>0</v>
      </c>
      <c r="AA241" s="3">
        <v>0</v>
      </c>
      <c r="AC241" s="3">
        <f t="shared" si="4"/>
        <v>381371</v>
      </c>
    </row>
    <row r="242" spans="1:29" s="3" customFormat="1" ht="12">
      <c r="A242" s="3" t="s">
        <v>413</v>
      </c>
      <c r="C242" s="3" t="s">
        <v>149</v>
      </c>
      <c r="E242" s="3">
        <v>847243</v>
      </c>
      <c r="G242" s="3">
        <v>4163786</v>
      </c>
      <c r="I242" s="3">
        <v>15598</v>
      </c>
      <c r="K242" s="3">
        <v>140563</v>
      </c>
      <c r="M242" s="3">
        <v>560</v>
      </c>
      <c r="O242" s="3">
        <v>30988</v>
      </c>
      <c r="Q242" s="3">
        <f>73965+922</f>
        <v>74887</v>
      </c>
      <c r="S242" s="3">
        <v>77213</v>
      </c>
      <c r="U242" s="3">
        <v>0</v>
      </c>
      <c r="W242" s="3">
        <v>199779</v>
      </c>
      <c r="Y242" s="3">
        <v>0</v>
      </c>
      <c r="AA242" s="3">
        <v>0</v>
      </c>
      <c r="AC242" s="3">
        <f t="shared" si="4"/>
        <v>5550617</v>
      </c>
    </row>
    <row r="243" spans="1:29" s="3" customFormat="1" ht="12">
      <c r="A243" s="3" t="s">
        <v>414</v>
      </c>
      <c r="C243" s="3" t="s">
        <v>118</v>
      </c>
      <c r="E243" s="3">
        <v>0</v>
      </c>
      <c r="G243" s="3">
        <v>0</v>
      </c>
      <c r="I243" s="3">
        <v>2373535</v>
      </c>
      <c r="K243" s="3">
        <v>0</v>
      </c>
      <c r="M243" s="3">
        <v>84231</v>
      </c>
      <c r="O243" s="3">
        <v>7189</v>
      </c>
      <c r="Q243" s="3">
        <v>70544</v>
      </c>
      <c r="S243" s="3">
        <v>9825</v>
      </c>
      <c r="U243" s="3">
        <v>0</v>
      </c>
      <c r="W243" s="3">
        <v>0</v>
      </c>
      <c r="Y243" s="3">
        <v>0</v>
      </c>
      <c r="AA243" s="3">
        <v>391580</v>
      </c>
      <c r="AC243" s="3">
        <f t="shared" si="4"/>
        <v>2936904</v>
      </c>
    </row>
    <row r="244" spans="1:29" s="3" customFormat="1" ht="12">
      <c r="A244" s="3" t="s">
        <v>415</v>
      </c>
      <c r="C244" s="3" t="s">
        <v>148</v>
      </c>
      <c r="E244" s="3">
        <v>3415454</v>
      </c>
      <c r="G244" s="3">
        <v>2635855</v>
      </c>
      <c r="I244" s="3">
        <v>359291</v>
      </c>
      <c r="K244" s="3">
        <v>221894</v>
      </c>
      <c r="M244" s="3">
        <v>0</v>
      </c>
      <c r="O244" s="3">
        <v>1795</v>
      </c>
      <c r="Q244" s="3">
        <v>317092</v>
      </c>
      <c r="S244" s="3">
        <v>18475</v>
      </c>
      <c r="U244" s="3">
        <v>0</v>
      </c>
      <c r="W244" s="3">
        <v>0</v>
      </c>
      <c r="Y244" s="3">
        <v>0</v>
      </c>
      <c r="AA244" s="3">
        <v>0</v>
      </c>
      <c r="AC244" s="3">
        <f t="shared" si="4"/>
        <v>6969856</v>
      </c>
    </row>
    <row r="245" spans="1:29" s="3" customFormat="1" ht="12">
      <c r="A245" s="3" t="s">
        <v>131</v>
      </c>
      <c r="C245" s="3" t="s">
        <v>135</v>
      </c>
      <c r="E245" s="3">
        <v>0</v>
      </c>
      <c r="G245" s="3">
        <v>377010.46</v>
      </c>
      <c r="I245" s="3">
        <v>2887.04</v>
      </c>
      <c r="K245" s="3">
        <v>12822.7</v>
      </c>
      <c r="M245" s="3">
        <v>0</v>
      </c>
      <c r="O245" s="3">
        <v>4648.84</v>
      </c>
      <c r="Q245" s="3">
        <v>45316.9</v>
      </c>
      <c r="S245" s="3">
        <v>4306.73</v>
      </c>
      <c r="U245" s="3">
        <v>0</v>
      </c>
      <c r="W245" s="3">
        <v>3816.54</v>
      </c>
      <c r="Y245" s="3">
        <v>0</v>
      </c>
      <c r="AA245" s="3">
        <v>0</v>
      </c>
      <c r="AC245" s="3">
        <f t="shared" si="4"/>
        <v>450809.21</v>
      </c>
    </row>
    <row r="246" spans="1:29" s="3" customFormat="1" ht="12">
      <c r="A246" s="3" t="s">
        <v>416</v>
      </c>
      <c r="C246" s="3" t="s">
        <v>354</v>
      </c>
      <c r="E246" s="3">
        <v>1871737</v>
      </c>
      <c r="G246" s="3">
        <v>3539111</v>
      </c>
      <c r="I246" s="3">
        <v>206830</v>
      </c>
      <c r="K246" s="3">
        <v>196068</v>
      </c>
      <c r="M246" s="3">
        <v>0</v>
      </c>
      <c r="O246" s="3">
        <v>1903332</v>
      </c>
      <c r="Q246" s="3">
        <f>436484+100908</f>
        <v>537392</v>
      </c>
      <c r="S246" s="3">
        <v>19773</v>
      </c>
      <c r="U246" s="3">
        <v>0</v>
      </c>
      <c r="W246" s="3">
        <v>1325000</v>
      </c>
      <c r="Y246" s="3">
        <v>0</v>
      </c>
      <c r="AA246" s="3">
        <v>12000000</v>
      </c>
      <c r="AC246" s="3">
        <f t="shared" si="4"/>
        <v>21599243</v>
      </c>
    </row>
    <row r="247" spans="1:29" s="3" customFormat="1" ht="12">
      <c r="A247" s="3" t="s">
        <v>417</v>
      </c>
      <c r="C247" s="3" t="s">
        <v>158</v>
      </c>
      <c r="E247" s="3">
        <v>335222</v>
      </c>
      <c r="G247" s="3">
        <v>0</v>
      </c>
      <c r="I247" s="3">
        <v>0</v>
      </c>
      <c r="K247" s="3">
        <v>6108</v>
      </c>
      <c r="M247" s="3">
        <v>0</v>
      </c>
      <c r="O247" s="3">
        <v>819</v>
      </c>
      <c r="Q247" s="3">
        <v>18120</v>
      </c>
      <c r="S247" s="3">
        <v>1645</v>
      </c>
      <c r="U247" s="3">
        <v>0</v>
      </c>
      <c r="W247" s="3">
        <v>0</v>
      </c>
      <c r="Y247" s="3">
        <v>0</v>
      </c>
      <c r="AA247" s="3">
        <v>0</v>
      </c>
      <c r="AC247" s="3">
        <f t="shared" si="4"/>
        <v>361914</v>
      </c>
    </row>
    <row r="248" spans="1:29" s="3" customFormat="1" ht="12">
      <c r="A248" s="3" t="s">
        <v>418</v>
      </c>
      <c r="C248" s="3" t="s">
        <v>158</v>
      </c>
      <c r="E248" s="3">
        <v>0</v>
      </c>
      <c r="G248" s="3">
        <v>1126532.88</v>
      </c>
      <c r="I248" s="3">
        <v>72948.15</v>
      </c>
      <c r="K248" s="3">
        <v>76656.81</v>
      </c>
      <c r="M248" s="3">
        <v>0</v>
      </c>
      <c r="O248" s="3">
        <v>4353.29</v>
      </c>
      <c r="Q248" s="3">
        <v>41313.81</v>
      </c>
      <c r="S248" s="3">
        <v>29788.34</v>
      </c>
      <c r="U248" s="3">
        <v>2893.8</v>
      </c>
      <c r="W248" s="3">
        <v>23650.76</v>
      </c>
      <c r="Y248" s="3">
        <v>0</v>
      </c>
      <c r="AA248" s="3">
        <v>0</v>
      </c>
      <c r="AC248" s="3">
        <f t="shared" si="4"/>
        <v>1378137.84</v>
      </c>
    </row>
    <row r="249" spans="1:29" s="3" customFormat="1" ht="12">
      <c r="A249" s="3" t="s">
        <v>419</v>
      </c>
      <c r="C249" s="3" t="s">
        <v>144</v>
      </c>
      <c r="E249" s="3">
        <v>0</v>
      </c>
      <c r="G249" s="3">
        <v>428391.98</v>
      </c>
      <c r="I249" s="3">
        <v>0</v>
      </c>
      <c r="K249" s="3">
        <v>5192.6</v>
      </c>
      <c r="M249" s="3">
        <v>0</v>
      </c>
      <c r="O249" s="3">
        <v>1127</v>
      </c>
      <c r="Q249" s="3">
        <v>31639.65</v>
      </c>
      <c r="S249" s="3">
        <v>249.87</v>
      </c>
      <c r="U249" s="3">
        <v>0</v>
      </c>
      <c r="W249" s="3">
        <v>0</v>
      </c>
      <c r="Y249" s="3">
        <v>0</v>
      </c>
      <c r="AA249" s="3">
        <v>0</v>
      </c>
      <c r="AC249" s="3">
        <f t="shared" si="4"/>
        <v>466601.1</v>
      </c>
    </row>
    <row r="250" spans="1:29" s="3" customFormat="1" ht="12">
      <c r="A250" s="3" t="s">
        <v>420</v>
      </c>
      <c r="C250" s="3" t="s">
        <v>158</v>
      </c>
      <c r="E250" s="3">
        <v>0</v>
      </c>
      <c r="G250" s="3">
        <v>401681.31</v>
      </c>
      <c r="I250" s="3">
        <v>0</v>
      </c>
      <c r="K250" s="3">
        <v>9098.54</v>
      </c>
      <c r="M250" s="3">
        <v>0</v>
      </c>
      <c r="O250" s="3">
        <v>1811.87</v>
      </c>
      <c r="Q250" s="3">
        <v>38656.12</v>
      </c>
      <c r="S250" s="3">
        <v>1414.04</v>
      </c>
      <c r="U250" s="3">
        <v>0</v>
      </c>
      <c r="W250" s="3">
        <v>0</v>
      </c>
      <c r="Y250" s="3">
        <v>0</v>
      </c>
      <c r="AA250" s="3">
        <v>0</v>
      </c>
      <c r="AC250" s="3">
        <f t="shared" si="4"/>
        <v>452661.87999999995</v>
      </c>
    </row>
    <row r="251" spans="1:29" s="3" customFormat="1" ht="12">
      <c r="A251" s="3" t="s">
        <v>132</v>
      </c>
      <c r="C251" s="3" t="s">
        <v>106</v>
      </c>
      <c r="E251" s="3">
        <v>0</v>
      </c>
      <c r="G251" s="3">
        <v>886419.64</v>
      </c>
      <c r="I251" s="3">
        <v>0</v>
      </c>
      <c r="K251" s="3">
        <v>29509.31</v>
      </c>
      <c r="M251" s="3">
        <v>0</v>
      </c>
      <c r="O251" s="3">
        <v>470</v>
      </c>
      <c r="Q251" s="3">
        <v>61004.2</v>
      </c>
      <c r="S251" s="3">
        <v>12213.21</v>
      </c>
      <c r="U251" s="3">
        <v>1803.21</v>
      </c>
      <c r="W251" s="3">
        <v>0</v>
      </c>
      <c r="Y251" s="3">
        <v>0</v>
      </c>
      <c r="AA251" s="3">
        <v>0</v>
      </c>
      <c r="AC251" s="3">
        <f t="shared" si="4"/>
        <v>991419.57</v>
      </c>
    </row>
    <row r="252" spans="1:29" s="3" customFormat="1" ht="12">
      <c r="A252" s="3" t="s">
        <v>421</v>
      </c>
      <c r="C252" s="3" t="s">
        <v>185</v>
      </c>
      <c r="E252" s="3">
        <v>3300</v>
      </c>
      <c r="G252" s="3">
        <v>789226</v>
      </c>
      <c r="I252" s="3">
        <v>0</v>
      </c>
      <c r="K252" s="3">
        <v>32772</v>
      </c>
      <c r="M252" s="3">
        <v>0</v>
      </c>
      <c r="O252" s="3">
        <v>6282</v>
      </c>
      <c r="Q252" s="3">
        <v>16404</v>
      </c>
      <c r="S252" s="3">
        <v>8564</v>
      </c>
      <c r="U252" s="3">
        <v>0</v>
      </c>
      <c r="W252" s="3">
        <v>0</v>
      </c>
      <c r="Y252" s="3">
        <v>0</v>
      </c>
      <c r="AA252" s="3">
        <v>0</v>
      </c>
      <c r="AC252" s="3">
        <f t="shared" si="4"/>
        <v>856548</v>
      </c>
    </row>
    <row r="253" spans="1:29" s="3" customFormat="1" ht="12">
      <c r="A253" s="3" t="s">
        <v>422</v>
      </c>
      <c r="C253" s="3" t="s">
        <v>327</v>
      </c>
      <c r="E253" s="3">
        <v>628441</v>
      </c>
      <c r="G253" s="3">
        <v>1195405</v>
      </c>
      <c r="I253" s="3">
        <v>0</v>
      </c>
      <c r="K253" s="3">
        <v>36580</v>
      </c>
      <c r="M253" s="3">
        <v>0</v>
      </c>
      <c r="O253" s="3">
        <v>28203</v>
      </c>
      <c r="Q253" s="3">
        <v>28565</v>
      </c>
      <c r="S253" s="3">
        <v>149480</v>
      </c>
      <c r="U253" s="3">
        <v>0</v>
      </c>
      <c r="W253" s="3">
        <v>175041</v>
      </c>
      <c r="Y253" s="3">
        <v>0</v>
      </c>
      <c r="AA253" s="3">
        <v>0</v>
      </c>
      <c r="AC253" s="3">
        <f t="shared" si="4"/>
        <v>2241715</v>
      </c>
    </row>
    <row r="254" spans="1:29" s="3" customFormat="1" ht="12">
      <c r="A254" s="3" t="s">
        <v>423</v>
      </c>
      <c r="C254" s="3" t="s">
        <v>106</v>
      </c>
      <c r="E254" s="3">
        <v>1807002</v>
      </c>
      <c r="G254" s="3">
        <v>2234844</v>
      </c>
      <c r="I254" s="3">
        <v>356919</v>
      </c>
      <c r="K254" s="3">
        <v>121335</v>
      </c>
      <c r="M254" s="3">
        <v>0</v>
      </c>
      <c r="O254" s="3">
        <v>3070</v>
      </c>
      <c r="Q254" s="3">
        <v>120576</v>
      </c>
      <c r="S254" s="3">
        <v>67802</v>
      </c>
      <c r="U254" s="3">
        <v>0</v>
      </c>
      <c r="W254" s="3">
        <v>50000</v>
      </c>
      <c r="Y254" s="3">
        <v>0</v>
      </c>
      <c r="AA254" s="3">
        <v>0</v>
      </c>
      <c r="AC254" s="3">
        <f t="shared" si="4"/>
        <v>4761548</v>
      </c>
    </row>
    <row r="255" spans="1:29" s="3" customFormat="1" ht="12">
      <c r="A255" s="3" t="s">
        <v>424</v>
      </c>
      <c r="C255" s="3" t="s">
        <v>162</v>
      </c>
      <c r="E255" s="3">
        <v>0</v>
      </c>
      <c r="G255" s="3">
        <v>706241.82</v>
      </c>
      <c r="I255" s="3">
        <v>0</v>
      </c>
      <c r="K255" s="3">
        <v>27149.33</v>
      </c>
      <c r="M255" s="3">
        <v>0</v>
      </c>
      <c r="O255" s="3">
        <v>71261.05</v>
      </c>
      <c r="Q255" s="3">
        <v>36462.63</v>
      </c>
      <c r="S255" s="3">
        <v>1481.51</v>
      </c>
      <c r="U255" s="3">
        <v>0</v>
      </c>
      <c r="W255" s="3">
        <v>0</v>
      </c>
      <c r="Y255" s="3">
        <v>0</v>
      </c>
      <c r="AA255" s="3">
        <v>0</v>
      </c>
      <c r="AC255" s="3">
        <f t="shared" si="4"/>
        <v>842596.34</v>
      </c>
    </row>
    <row r="256" spans="1:29" s="3" customFormat="1" ht="12">
      <c r="A256" s="3" t="s">
        <v>425</v>
      </c>
      <c r="C256" s="3" t="s">
        <v>158</v>
      </c>
      <c r="E256" s="3">
        <v>0</v>
      </c>
      <c r="G256" s="3">
        <v>1618678</v>
      </c>
      <c r="I256" s="3">
        <v>20162</v>
      </c>
      <c r="K256" s="3">
        <v>41812</v>
      </c>
      <c r="M256" s="3">
        <v>13544</v>
      </c>
      <c r="O256" s="3">
        <v>171970</v>
      </c>
      <c r="Q256" s="3">
        <f>24953+19</f>
        <v>24972</v>
      </c>
      <c r="S256" s="3">
        <v>18911</v>
      </c>
      <c r="U256" s="3">
        <v>0</v>
      </c>
      <c r="W256" s="3">
        <v>6100</v>
      </c>
      <c r="Y256" s="3">
        <v>0</v>
      </c>
      <c r="AA256" s="3">
        <v>100000</v>
      </c>
      <c r="AC256" s="3">
        <f t="shared" si="4"/>
        <v>2016149</v>
      </c>
    </row>
    <row r="257" spans="1:29" s="3" customFormat="1" ht="12">
      <c r="A257" s="3" t="s">
        <v>426</v>
      </c>
      <c r="C257" s="3" t="s">
        <v>174</v>
      </c>
      <c r="E257" s="3">
        <v>0</v>
      </c>
      <c r="G257" s="3">
        <v>365327.31</v>
      </c>
      <c r="I257" s="3">
        <v>0</v>
      </c>
      <c r="K257" s="3">
        <v>10808.07</v>
      </c>
      <c r="M257" s="3">
        <v>0</v>
      </c>
      <c r="O257" s="3">
        <v>520</v>
      </c>
      <c r="Q257" s="3">
        <v>4753.1</v>
      </c>
      <c r="S257" s="3">
        <v>180</v>
      </c>
      <c r="U257" s="3">
        <v>0</v>
      </c>
      <c r="W257" s="3">
        <v>0</v>
      </c>
      <c r="Y257" s="3">
        <v>0</v>
      </c>
      <c r="AA257" s="3">
        <v>0</v>
      </c>
      <c r="AC257" s="3">
        <f t="shared" si="4"/>
        <v>381588.48</v>
      </c>
    </row>
    <row r="258" spans="1:29" s="3" customFormat="1" ht="12">
      <c r="A258" s="3" t="s">
        <v>427</v>
      </c>
      <c r="C258" s="3" t="s">
        <v>163</v>
      </c>
      <c r="E258" s="3">
        <v>0</v>
      </c>
      <c r="G258" s="3">
        <v>155597.72</v>
      </c>
      <c r="I258" s="3">
        <v>0</v>
      </c>
      <c r="K258" s="3">
        <v>1772.63</v>
      </c>
      <c r="M258" s="3">
        <v>0</v>
      </c>
      <c r="O258" s="3">
        <v>1022.35</v>
      </c>
      <c r="Q258" s="3">
        <v>9608.53</v>
      </c>
      <c r="S258" s="3">
        <v>129.98</v>
      </c>
      <c r="U258" s="3">
        <v>235.25</v>
      </c>
      <c r="W258" s="3">
        <v>0</v>
      </c>
      <c r="Y258" s="3">
        <v>0</v>
      </c>
      <c r="AA258" s="3">
        <v>0</v>
      </c>
      <c r="AC258" s="3">
        <f t="shared" si="4"/>
        <v>168366.46000000002</v>
      </c>
    </row>
    <row r="259" spans="1:29" s="3" customFormat="1" ht="12">
      <c r="A259" s="3" t="s">
        <v>428</v>
      </c>
      <c r="C259" s="3" t="s">
        <v>188</v>
      </c>
      <c r="E259" s="3">
        <v>6885758</v>
      </c>
      <c r="G259" s="3">
        <v>0</v>
      </c>
      <c r="I259" s="3">
        <v>3193006</v>
      </c>
      <c r="K259" s="3">
        <v>280352</v>
      </c>
      <c r="M259" s="3">
        <v>756633</v>
      </c>
      <c r="O259" s="3">
        <v>825</v>
      </c>
      <c r="Q259" s="3">
        <v>342779</v>
      </c>
      <c r="S259" s="3">
        <v>7924</v>
      </c>
      <c r="U259" s="3">
        <v>0</v>
      </c>
      <c r="W259" s="3">
        <v>1156910</v>
      </c>
      <c r="Y259" s="3">
        <v>0</v>
      </c>
      <c r="AA259" s="3">
        <v>0</v>
      </c>
      <c r="AC259" s="3">
        <f t="shared" si="4"/>
        <v>12624187</v>
      </c>
    </row>
    <row r="260" spans="1:29" s="3" customFormat="1" ht="12">
      <c r="A260" s="3" t="s">
        <v>429</v>
      </c>
      <c r="C260" s="3" t="s">
        <v>148</v>
      </c>
      <c r="E260" s="3">
        <v>0</v>
      </c>
      <c r="G260" s="3">
        <v>1468332.05</v>
      </c>
      <c r="I260" s="3">
        <v>26976.78</v>
      </c>
      <c r="K260" s="3">
        <v>54105.95</v>
      </c>
      <c r="M260" s="3">
        <v>0</v>
      </c>
      <c r="O260" s="3">
        <v>6543.9</v>
      </c>
      <c r="Q260" s="3">
        <v>50477.31</v>
      </c>
      <c r="S260" s="3">
        <v>8137.83</v>
      </c>
      <c r="U260" s="3">
        <v>0</v>
      </c>
      <c r="W260" s="3">
        <v>0</v>
      </c>
      <c r="Y260" s="3">
        <v>0</v>
      </c>
      <c r="AA260" s="3">
        <v>0</v>
      </c>
      <c r="AC260" s="3">
        <f t="shared" si="4"/>
        <v>1614573.82</v>
      </c>
    </row>
  </sheetData>
  <printOptions/>
  <pageMargins left="0.75" right="0.75" top="0.5" bottom="0.5" header="0" footer="0.3"/>
  <pageSetup firstPageNumber="22" useFirstPageNumber="1" horizontalDpi="1200" verticalDpi="1200" orientation="portrait" pageOrder="overThenDown" scale="80" r:id="rId1"/>
  <headerFooter alignWithMargins="0">
    <oddFooter>&amp;C&amp;"Times New Roman,Regular"&amp;13&amp;P</oddFooter>
  </headerFooter>
  <rowBreaks count="3" manualBreakCount="3">
    <brk id="73" max="28" man="1"/>
    <brk id="136" max="255" man="1"/>
    <brk id="201" max="255" man="1"/>
  </rowBreaks>
  <colBreaks count="1" manualBreakCount="1">
    <brk id="13" min="8" max="2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B258"/>
  <sheetViews>
    <sheetView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"/>
    </sheetView>
  </sheetViews>
  <sheetFormatPr defaultColWidth="9.140625" defaultRowHeight="12.75"/>
  <cols>
    <col min="1" max="1" width="30.7109375" style="2" customWidth="1"/>
    <col min="2" max="2" width="1.7109375" style="2" customWidth="1"/>
    <col min="3" max="3" width="10.7109375" style="2" customWidth="1"/>
    <col min="4" max="4" width="1.7109375" style="2" customWidth="1"/>
    <col min="5" max="5" width="11.7109375" style="2" customWidth="1"/>
    <col min="6" max="6" width="1.7109375" style="2" customWidth="1"/>
    <col min="7" max="7" width="11.7109375" style="2" customWidth="1"/>
    <col min="8" max="8" width="1.7109375" style="2" customWidth="1"/>
    <col min="9" max="9" width="11.7109375" style="2" customWidth="1"/>
    <col min="10" max="10" width="1.7109375" style="2" customWidth="1"/>
    <col min="11" max="11" width="11.7109375" style="2" customWidth="1"/>
    <col min="12" max="12" width="1.7109375" style="2" customWidth="1"/>
    <col min="13" max="13" width="11.7109375" style="2" customWidth="1"/>
    <col min="14" max="14" width="1.7109375" style="2" customWidth="1"/>
    <col min="15" max="15" width="11.7109375" style="2" customWidth="1"/>
    <col min="16" max="16" width="1.7109375" style="2" customWidth="1"/>
    <col min="17" max="17" width="11.7109375" style="2" customWidth="1"/>
    <col min="18" max="18" width="1.7109375" style="2" customWidth="1"/>
    <col min="19" max="19" width="11.7109375" style="2" customWidth="1"/>
    <col min="20" max="20" width="1.7109375" style="2" customWidth="1"/>
    <col min="21" max="21" width="11.7109375" style="2" customWidth="1"/>
    <col min="22" max="22" width="1.7109375" style="2" customWidth="1"/>
    <col min="23" max="23" width="11.7109375" style="2" customWidth="1"/>
    <col min="24" max="24" width="1.7109375" style="2" customWidth="1"/>
    <col min="25" max="25" width="11.7109375" style="2" customWidth="1"/>
    <col min="26" max="26" width="1.7109375" style="2" customWidth="1"/>
    <col min="27" max="27" width="11.7109375" style="2" customWidth="1"/>
    <col min="28" max="28" width="1.7109375" style="2" customWidth="1"/>
    <col min="29" max="29" width="13.7109375" style="2" customWidth="1"/>
    <col min="30" max="16384" width="9.140625" style="2" customWidth="1"/>
  </cols>
  <sheetData>
    <row r="1" ht="12">
      <c r="A1" s="2" t="s">
        <v>608</v>
      </c>
    </row>
    <row r="2" ht="12">
      <c r="A2" s="2" t="s">
        <v>513</v>
      </c>
    </row>
    <row r="3" s="10" customFormat="1" ht="12">
      <c r="A3" s="39" t="s">
        <v>98</v>
      </c>
    </row>
    <row r="4" spans="7:27" s="10" customFormat="1" ht="12">
      <c r="G4" s="10" t="s">
        <v>476</v>
      </c>
      <c r="I4" s="10" t="s">
        <v>478</v>
      </c>
      <c r="K4" s="10" t="s">
        <v>99</v>
      </c>
      <c r="U4" s="10" t="s">
        <v>485</v>
      </c>
      <c r="AA4" s="10" t="s">
        <v>0</v>
      </c>
    </row>
    <row r="5" spans="7:27" s="10" customFormat="1" ht="12">
      <c r="G5" s="10" t="s">
        <v>477</v>
      </c>
      <c r="I5" s="10" t="s">
        <v>479</v>
      </c>
      <c r="K5" s="10" t="s">
        <v>480</v>
      </c>
      <c r="Q5" s="10" t="s">
        <v>121</v>
      </c>
      <c r="S5" s="10" t="s">
        <v>483</v>
      </c>
      <c r="U5" s="10" t="s">
        <v>486</v>
      </c>
      <c r="AA5" s="10" t="s">
        <v>446</v>
      </c>
    </row>
    <row r="6" spans="1:29" s="10" customFormat="1" ht="12" customHeight="1">
      <c r="A6" s="1" t="s">
        <v>99</v>
      </c>
      <c r="B6" s="1"/>
      <c r="C6" s="1" t="s">
        <v>11</v>
      </c>
      <c r="D6" s="6"/>
      <c r="E6" s="1" t="s">
        <v>7</v>
      </c>
      <c r="F6" s="6"/>
      <c r="G6" s="1" t="s">
        <v>8</v>
      </c>
      <c r="H6" s="6"/>
      <c r="I6" s="1" t="s">
        <v>120</v>
      </c>
      <c r="J6" s="6"/>
      <c r="K6" s="1" t="s">
        <v>481</v>
      </c>
      <c r="L6" s="6"/>
      <c r="M6" s="1" t="s">
        <v>9</v>
      </c>
      <c r="N6" s="6"/>
      <c r="O6" s="1" t="s">
        <v>0</v>
      </c>
      <c r="P6" s="6"/>
      <c r="Q6" s="1" t="s">
        <v>482</v>
      </c>
      <c r="R6" s="6"/>
      <c r="S6" s="1" t="s">
        <v>484</v>
      </c>
      <c r="T6" s="6"/>
      <c r="U6" s="1" t="s">
        <v>487</v>
      </c>
      <c r="V6" s="6"/>
      <c r="W6" s="1" t="s">
        <v>3</v>
      </c>
      <c r="X6" s="6"/>
      <c r="Y6" s="1" t="s">
        <v>5</v>
      </c>
      <c r="Z6" s="6"/>
      <c r="AA6" s="1" t="s">
        <v>488</v>
      </c>
      <c r="AB6" s="6"/>
      <c r="AC6" s="7" t="s">
        <v>119</v>
      </c>
    </row>
    <row r="7" spans="1:29" ht="12">
      <c r="A7" s="2" t="s">
        <v>166</v>
      </c>
      <c r="C7" s="2" t="s">
        <v>154</v>
      </c>
      <c r="E7" s="5">
        <v>143898.23</v>
      </c>
      <c r="F7" s="5"/>
      <c r="G7" s="5">
        <v>44112.37</v>
      </c>
      <c r="H7" s="5"/>
      <c r="I7" s="5">
        <v>44227.39</v>
      </c>
      <c r="J7" s="5"/>
      <c r="K7" s="5">
        <v>37384.82</v>
      </c>
      <c r="L7" s="5"/>
      <c r="M7" s="5">
        <v>5788.59</v>
      </c>
      <c r="N7" s="5"/>
      <c r="O7" s="5">
        <v>1802</v>
      </c>
      <c r="P7" s="5"/>
      <c r="Q7" s="5">
        <v>50062.36</v>
      </c>
      <c r="R7" s="5"/>
      <c r="S7" s="5">
        <v>0</v>
      </c>
      <c r="T7" s="5"/>
      <c r="U7" s="5">
        <v>0</v>
      </c>
      <c r="V7" s="5"/>
      <c r="W7" s="5">
        <v>57500</v>
      </c>
      <c r="X7" s="5"/>
      <c r="Y7" s="5">
        <v>0</v>
      </c>
      <c r="Z7" s="5"/>
      <c r="AA7" s="5">
        <v>0</v>
      </c>
      <c r="AB7" s="5"/>
      <c r="AC7" s="5">
        <f>SUM(E7:AA7)</f>
        <v>384775.76</v>
      </c>
    </row>
    <row r="8" spans="1:29" ht="12">
      <c r="A8" s="2" t="s">
        <v>167</v>
      </c>
      <c r="C8" s="2" t="s">
        <v>133</v>
      </c>
      <c r="E8" s="3">
        <v>525891.1</v>
      </c>
      <c r="F8" s="3"/>
      <c r="G8" s="3">
        <v>112083.73</v>
      </c>
      <c r="H8" s="3"/>
      <c r="I8" s="3">
        <v>106208.93</v>
      </c>
      <c r="J8" s="3"/>
      <c r="K8" s="3">
        <v>144366.72</v>
      </c>
      <c r="L8" s="3"/>
      <c r="M8" s="3">
        <v>25157.27</v>
      </c>
      <c r="N8" s="3"/>
      <c r="O8" s="3">
        <v>4580.04</v>
      </c>
      <c r="P8" s="3"/>
      <c r="Q8" s="3">
        <v>29544.52</v>
      </c>
      <c r="R8" s="3"/>
      <c r="S8" s="3">
        <v>0</v>
      </c>
      <c r="T8" s="3"/>
      <c r="U8" s="3">
        <v>0</v>
      </c>
      <c r="V8" s="3"/>
      <c r="W8" s="3">
        <v>0</v>
      </c>
      <c r="X8" s="3"/>
      <c r="Y8" s="3">
        <v>0</v>
      </c>
      <c r="Z8" s="3"/>
      <c r="AA8" s="3">
        <v>0</v>
      </c>
      <c r="AC8" s="3">
        <f>SUM(E8:AA8)</f>
        <v>947832.31</v>
      </c>
    </row>
    <row r="9" spans="1:29" ht="12">
      <c r="A9" s="2" t="s">
        <v>164</v>
      </c>
      <c r="C9" s="2" t="s">
        <v>134</v>
      </c>
      <c r="E9" s="3">
        <v>153300.84</v>
      </c>
      <c r="F9" s="3"/>
      <c r="G9" s="3">
        <v>23406.04</v>
      </c>
      <c r="H9" s="3"/>
      <c r="I9" s="3">
        <v>52746.04</v>
      </c>
      <c r="J9" s="3"/>
      <c r="K9" s="3">
        <v>63608.71</v>
      </c>
      <c r="L9" s="3"/>
      <c r="M9" s="3">
        <v>7669.67</v>
      </c>
      <c r="N9" s="3"/>
      <c r="O9" s="3">
        <v>3163.29</v>
      </c>
      <c r="P9" s="3"/>
      <c r="Q9" s="3">
        <v>14402.83</v>
      </c>
      <c r="R9" s="3"/>
      <c r="S9" s="3">
        <v>0</v>
      </c>
      <c r="T9" s="3"/>
      <c r="U9" s="3">
        <v>0</v>
      </c>
      <c r="V9" s="3"/>
      <c r="W9" s="3">
        <v>0</v>
      </c>
      <c r="X9" s="3"/>
      <c r="Y9" s="3">
        <v>0</v>
      </c>
      <c r="Z9" s="3"/>
      <c r="AA9" s="3">
        <v>0</v>
      </c>
      <c r="AC9" s="3">
        <f aca="true" t="shared" si="0" ref="AC9:AC70">SUM(E9:AA9)</f>
        <v>318297.42</v>
      </c>
    </row>
    <row r="10" spans="1:29" s="11" customFormat="1" ht="12">
      <c r="A10" s="11" t="s">
        <v>168</v>
      </c>
      <c r="C10" s="11" t="s">
        <v>154</v>
      </c>
      <c r="E10" s="12">
        <v>28514.4</v>
      </c>
      <c r="F10" s="12"/>
      <c r="G10" s="12">
        <v>4383.36</v>
      </c>
      <c r="H10" s="12"/>
      <c r="I10" s="12">
        <v>17450.83</v>
      </c>
      <c r="J10" s="12"/>
      <c r="K10" s="12">
        <v>11428.66</v>
      </c>
      <c r="L10" s="12"/>
      <c r="M10" s="12">
        <v>2275.93</v>
      </c>
      <c r="N10" s="12"/>
      <c r="O10" s="12">
        <v>1133.38</v>
      </c>
      <c r="P10" s="12"/>
      <c r="Q10" s="12">
        <v>9134.83</v>
      </c>
      <c r="R10" s="12"/>
      <c r="S10" s="12">
        <v>0</v>
      </c>
      <c r="T10" s="12"/>
      <c r="U10" s="12">
        <v>0</v>
      </c>
      <c r="V10" s="12"/>
      <c r="W10" s="12">
        <v>0</v>
      </c>
      <c r="X10" s="12"/>
      <c r="Y10" s="12">
        <v>0</v>
      </c>
      <c r="Z10" s="12"/>
      <c r="AA10" s="12">
        <v>88.1</v>
      </c>
      <c r="AC10" s="12">
        <f t="shared" si="0"/>
        <v>74409.49</v>
      </c>
    </row>
    <row r="11" spans="1:29" s="11" customFormat="1" ht="12">
      <c r="A11" s="11" t="s">
        <v>169</v>
      </c>
      <c r="C11" s="11" t="s">
        <v>150</v>
      </c>
      <c r="E11" s="12">
        <v>485195.54</v>
      </c>
      <c r="F11" s="12"/>
      <c r="G11" s="12">
        <v>99310.1</v>
      </c>
      <c r="H11" s="12"/>
      <c r="I11" s="12">
        <v>155684.6</v>
      </c>
      <c r="J11" s="12"/>
      <c r="K11" s="12">
        <v>162664.37</v>
      </c>
      <c r="L11" s="12"/>
      <c r="M11" s="12">
        <v>33593.79</v>
      </c>
      <c r="N11" s="12"/>
      <c r="O11" s="12">
        <v>2886.62</v>
      </c>
      <c r="P11" s="12"/>
      <c r="Q11" s="12">
        <v>62581.53</v>
      </c>
      <c r="R11" s="12"/>
      <c r="S11" s="12">
        <v>0</v>
      </c>
      <c r="T11" s="12"/>
      <c r="U11" s="12">
        <v>0</v>
      </c>
      <c r="V11" s="12"/>
      <c r="W11" s="12">
        <v>200000</v>
      </c>
      <c r="X11" s="12"/>
      <c r="Y11" s="12">
        <v>0</v>
      </c>
      <c r="Z11" s="12"/>
      <c r="AA11" s="12">
        <v>0</v>
      </c>
      <c r="AC11" s="12">
        <f t="shared" si="0"/>
        <v>1201916.55</v>
      </c>
    </row>
    <row r="12" spans="1:29" s="11" customFormat="1" ht="12">
      <c r="A12" s="11" t="s">
        <v>170</v>
      </c>
      <c r="C12" s="11" t="s">
        <v>171</v>
      </c>
      <c r="E12" s="12">
        <v>862951</v>
      </c>
      <c r="F12" s="12"/>
      <c r="G12" s="12">
        <v>247267</v>
      </c>
      <c r="H12" s="12"/>
      <c r="I12" s="12">
        <v>282426</v>
      </c>
      <c r="J12" s="12"/>
      <c r="K12" s="12">
        <v>304645</v>
      </c>
      <c r="L12" s="12"/>
      <c r="M12" s="12">
        <v>76322</v>
      </c>
      <c r="N12" s="12"/>
      <c r="O12" s="12">
        <v>7429</v>
      </c>
      <c r="P12" s="12"/>
      <c r="Q12" s="12">
        <v>304294</v>
      </c>
      <c r="R12" s="12"/>
      <c r="S12" s="12">
        <v>0</v>
      </c>
      <c r="T12" s="12"/>
      <c r="U12" s="12">
        <v>0</v>
      </c>
      <c r="V12" s="12"/>
      <c r="W12" s="12">
        <v>0</v>
      </c>
      <c r="X12" s="12"/>
      <c r="Y12" s="12">
        <v>0</v>
      </c>
      <c r="Z12" s="12"/>
      <c r="AA12" s="12">
        <v>0</v>
      </c>
      <c r="AC12" s="12">
        <f t="shared" si="0"/>
        <v>2085334</v>
      </c>
    </row>
    <row r="13" spans="1:29" s="11" customFormat="1" ht="12">
      <c r="A13" s="11" t="s">
        <v>172</v>
      </c>
      <c r="C13" s="11" t="s">
        <v>136</v>
      </c>
      <c r="E13" s="12">
        <v>129986</v>
      </c>
      <c r="F13" s="12"/>
      <c r="G13" s="12">
        <v>39543</v>
      </c>
      <c r="H13" s="12"/>
      <c r="I13" s="12">
        <v>75955</v>
      </c>
      <c r="J13" s="12"/>
      <c r="K13" s="12">
        <v>42012</v>
      </c>
      <c r="L13" s="12"/>
      <c r="M13" s="12">
        <v>14215</v>
      </c>
      <c r="N13" s="12"/>
      <c r="O13" s="12">
        <v>1496</v>
      </c>
      <c r="P13" s="12"/>
      <c r="Q13" s="12">
        <v>0</v>
      </c>
      <c r="R13" s="12"/>
      <c r="S13" s="12">
        <v>0</v>
      </c>
      <c r="T13" s="12"/>
      <c r="U13" s="12">
        <v>0</v>
      </c>
      <c r="V13" s="12"/>
      <c r="W13" s="12">
        <v>0</v>
      </c>
      <c r="X13" s="12"/>
      <c r="Y13" s="12">
        <v>0</v>
      </c>
      <c r="Z13" s="12"/>
      <c r="AA13" s="12">
        <v>0</v>
      </c>
      <c r="AC13" s="12">
        <f t="shared" si="0"/>
        <v>303207</v>
      </c>
    </row>
    <row r="14" spans="1:29" s="11" customFormat="1" ht="12">
      <c r="A14" s="11" t="s">
        <v>173</v>
      </c>
      <c r="C14" s="11" t="s">
        <v>174</v>
      </c>
      <c r="E14" s="12">
        <v>172034.04</v>
      </c>
      <c r="F14" s="12"/>
      <c r="G14" s="12">
        <v>26157.51</v>
      </c>
      <c r="H14" s="12"/>
      <c r="I14" s="12">
        <v>61017.38</v>
      </c>
      <c r="J14" s="12"/>
      <c r="K14" s="12">
        <v>74303.51</v>
      </c>
      <c r="L14" s="12"/>
      <c r="M14" s="12">
        <v>14493.12</v>
      </c>
      <c r="N14" s="12"/>
      <c r="O14" s="12">
        <v>1109</v>
      </c>
      <c r="P14" s="12"/>
      <c r="Q14" s="12">
        <v>2827.06</v>
      </c>
      <c r="R14" s="12"/>
      <c r="S14" s="12">
        <v>0</v>
      </c>
      <c r="T14" s="12"/>
      <c r="U14" s="12">
        <v>0</v>
      </c>
      <c r="V14" s="12"/>
      <c r="W14" s="12">
        <v>0</v>
      </c>
      <c r="X14" s="12"/>
      <c r="Y14" s="12">
        <v>0</v>
      </c>
      <c r="Z14" s="12"/>
      <c r="AA14" s="12">
        <v>0</v>
      </c>
      <c r="AC14" s="12">
        <f t="shared" si="0"/>
        <v>351941.62</v>
      </c>
    </row>
    <row r="15" spans="1:29" s="11" customFormat="1" ht="12">
      <c r="A15" s="11" t="s">
        <v>175</v>
      </c>
      <c r="C15" s="11" t="s">
        <v>135</v>
      </c>
      <c r="E15" s="12">
        <v>208446.54</v>
      </c>
      <c r="F15" s="12"/>
      <c r="G15" s="12">
        <v>62192.78</v>
      </c>
      <c r="H15" s="12"/>
      <c r="I15" s="12">
        <v>67136.83</v>
      </c>
      <c r="J15" s="12"/>
      <c r="K15" s="12">
        <v>52773.67</v>
      </c>
      <c r="L15" s="12"/>
      <c r="M15" s="12">
        <v>11824.85</v>
      </c>
      <c r="N15" s="12"/>
      <c r="O15" s="12">
        <v>992.95</v>
      </c>
      <c r="P15" s="12"/>
      <c r="Q15" s="12">
        <v>16089.73</v>
      </c>
      <c r="R15" s="12"/>
      <c r="S15" s="12">
        <v>0</v>
      </c>
      <c r="T15" s="12"/>
      <c r="U15" s="12">
        <v>0</v>
      </c>
      <c r="V15" s="12"/>
      <c r="W15" s="12">
        <v>0</v>
      </c>
      <c r="X15" s="12"/>
      <c r="Y15" s="12">
        <v>0</v>
      </c>
      <c r="Z15" s="12"/>
      <c r="AA15" s="12">
        <v>10134</v>
      </c>
      <c r="AC15" s="12">
        <f t="shared" si="0"/>
        <v>429591.35</v>
      </c>
    </row>
    <row r="16" spans="1:29" s="11" customFormat="1" ht="12">
      <c r="A16" s="11" t="s">
        <v>176</v>
      </c>
      <c r="C16" s="11" t="s">
        <v>177</v>
      </c>
      <c r="E16" s="12">
        <v>0</v>
      </c>
      <c r="F16" s="12"/>
      <c r="G16" s="12">
        <v>0</v>
      </c>
      <c r="H16" s="12"/>
      <c r="I16" s="12">
        <f>255246+20712+120663+243518+85571+172584+112751</f>
        <v>1011045</v>
      </c>
      <c r="J16" s="12"/>
      <c r="K16" s="12">
        <f>14232+2582+10329+146740+49701</f>
        <v>223584</v>
      </c>
      <c r="L16" s="12"/>
      <c r="M16" s="12">
        <v>0</v>
      </c>
      <c r="N16" s="12"/>
      <c r="O16" s="12">
        <v>166625</v>
      </c>
      <c r="P16" s="12"/>
      <c r="Q16" s="12">
        <v>172810</v>
      </c>
      <c r="R16" s="12"/>
      <c r="S16" s="12">
        <v>0</v>
      </c>
      <c r="T16" s="12"/>
      <c r="U16" s="12">
        <v>0</v>
      </c>
      <c r="V16" s="12"/>
      <c r="W16" s="12">
        <v>200000</v>
      </c>
      <c r="X16" s="12"/>
      <c r="Y16" s="12">
        <v>0</v>
      </c>
      <c r="Z16" s="12"/>
      <c r="AA16" s="12">
        <v>0</v>
      </c>
      <c r="AC16" s="12">
        <f t="shared" si="0"/>
        <v>1774064</v>
      </c>
    </row>
    <row r="17" spans="1:29" s="11" customFormat="1" ht="12">
      <c r="A17" s="11" t="s">
        <v>510</v>
      </c>
      <c r="C17" s="11" t="s">
        <v>136</v>
      </c>
      <c r="E17" s="12">
        <v>720308.36</v>
      </c>
      <c r="F17" s="12"/>
      <c r="G17" s="12">
        <v>242265.22</v>
      </c>
      <c r="H17" s="12"/>
      <c r="I17" s="12">
        <v>283588.52</v>
      </c>
      <c r="J17" s="12"/>
      <c r="K17" s="12">
        <v>257880.82</v>
      </c>
      <c r="L17" s="12"/>
      <c r="M17" s="12">
        <v>42292.76</v>
      </c>
      <c r="N17" s="12"/>
      <c r="O17" s="12">
        <v>11521.23</v>
      </c>
      <c r="P17" s="12"/>
      <c r="Q17" s="12">
        <v>163286.6</v>
      </c>
      <c r="R17" s="12"/>
      <c r="S17" s="12">
        <v>4071.57</v>
      </c>
      <c r="T17" s="12"/>
      <c r="U17" s="12">
        <v>0</v>
      </c>
      <c r="V17" s="12"/>
      <c r="W17" s="12">
        <v>194263.24</v>
      </c>
      <c r="X17" s="12"/>
      <c r="Y17" s="12">
        <v>0</v>
      </c>
      <c r="Z17" s="12"/>
      <c r="AA17" s="12">
        <v>20.78</v>
      </c>
      <c r="AC17" s="12">
        <f t="shared" si="0"/>
        <v>1919499.1000000003</v>
      </c>
    </row>
    <row r="18" spans="1:29" s="11" customFormat="1" ht="12">
      <c r="A18" s="11" t="s">
        <v>179</v>
      </c>
      <c r="C18" s="11" t="s">
        <v>137</v>
      </c>
      <c r="E18" s="12">
        <v>541971.13</v>
      </c>
      <c r="F18" s="12"/>
      <c r="G18" s="12">
        <v>151071.55</v>
      </c>
      <c r="H18" s="12"/>
      <c r="I18" s="12">
        <v>162610.04</v>
      </c>
      <c r="J18" s="12"/>
      <c r="K18" s="12">
        <v>200314.01</v>
      </c>
      <c r="L18" s="12"/>
      <c r="M18" s="12">
        <v>32328.67</v>
      </c>
      <c r="N18" s="12"/>
      <c r="O18" s="12">
        <v>7532.54</v>
      </c>
      <c r="P18" s="12"/>
      <c r="Q18" s="12">
        <v>117556.75</v>
      </c>
      <c r="R18" s="12"/>
      <c r="S18" s="12">
        <v>0</v>
      </c>
      <c r="T18" s="12"/>
      <c r="U18" s="12">
        <v>0</v>
      </c>
      <c r="V18" s="12"/>
      <c r="W18" s="12">
        <v>20000</v>
      </c>
      <c r="X18" s="12"/>
      <c r="Y18" s="12">
        <v>0</v>
      </c>
      <c r="Z18" s="12"/>
      <c r="AA18" s="12">
        <v>0</v>
      </c>
      <c r="AC18" s="12">
        <f t="shared" si="0"/>
        <v>1233384.69</v>
      </c>
    </row>
    <row r="19" spans="1:29" s="11" customFormat="1" ht="12">
      <c r="A19" s="11" t="s">
        <v>180</v>
      </c>
      <c r="C19" s="11" t="s">
        <v>150</v>
      </c>
      <c r="E19" s="12">
        <v>1091104</v>
      </c>
      <c r="F19" s="12"/>
      <c r="G19" s="12">
        <v>227726</v>
      </c>
      <c r="H19" s="12"/>
      <c r="I19" s="12">
        <v>372211</v>
      </c>
      <c r="J19" s="12"/>
      <c r="K19" s="12">
        <v>344726</v>
      </c>
      <c r="L19" s="12"/>
      <c r="M19" s="12">
        <v>53937</v>
      </c>
      <c r="N19" s="12"/>
      <c r="O19" s="12">
        <v>9645</v>
      </c>
      <c r="P19" s="12"/>
      <c r="Q19" s="12">
        <v>216729</v>
      </c>
      <c r="R19" s="12"/>
      <c r="S19" s="12">
        <v>0</v>
      </c>
      <c r="T19" s="12"/>
      <c r="U19" s="12">
        <v>0</v>
      </c>
      <c r="V19" s="12"/>
      <c r="W19" s="12">
        <v>0</v>
      </c>
      <c r="X19" s="12"/>
      <c r="Y19" s="12">
        <v>0</v>
      </c>
      <c r="Z19" s="12"/>
      <c r="AA19" s="12">
        <v>0</v>
      </c>
      <c r="AC19" s="12">
        <f t="shared" si="0"/>
        <v>2316078</v>
      </c>
    </row>
    <row r="20" spans="1:54" s="38" customFormat="1" ht="12">
      <c r="A20" s="11" t="s">
        <v>523</v>
      </c>
      <c r="B20" s="11"/>
      <c r="C20" s="12" t="s">
        <v>602</v>
      </c>
      <c r="D20" s="12"/>
      <c r="E20" s="12">
        <v>719758.63</v>
      </c>
      <c r="F20" s="12"/>
      <c r="G20" s="12">
        <v>207330.77</v>
      </c>
      <c r="H20" s="12"/>
      <c r="I20" s="12">
        <v>203446.38</v>
      </c>
      <c r="J20" s="12"/>
      <c r="K20" s="12">
        <v>173652.18</v>
      </c>
      <c r="L20" s="12"/>
      <c r="M20" s="12">
        <v>20845.61</v>
      </c>
      <c r="N20" s="12"/>
      <c r="O20" s="12">
        <v>6483.95</v>
      </c>
      <c r="P20" s="12"/>
      <c r="Q20" s="12">
        <v>31192.46</v>
      </c>
      <c r="R20" s="12"/>
      <c r="S20" s="12">
        <v>0</v>
      </c>
      <c r="T20" s="12"/>
      <c r="U20" s="12">
        <v>0</v>
      </c>
      <c r="V20" s="12"/>
      <c r="W20" s="12">
        <v>20000</v>
      </c>
      <c r="X20" s="12"/>
      <c r="Y20" s="12">
        <v>0</v>
      </c>
      <c r="Z20" s="12"/>
      <c r="AA20" s="12">
        <v>0</v>
      </c>
      <c r="AB20" s="37"/>
      <c r="AC20" s="12">
        <f t="shared" si="0"/>
        <v>1382709.98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</row>
    <row r="21" spans="1:29" s="11" customFormat="1" ht="12">
      <c r="A21" s="11" t="s">
        <v>112</v>
      </c>
      <c r="C21" s="11" t="s">
        <v>104</v>
      </c>
      <c r="E21" s="12">
        <v>0</v>
      </c>
      <c r="F21" s="12"/>
      <c r="G21" s="12">
        <v>0</v>
      </c>
      <c r="H21" s="12"/>
      <c r="I21" s="12">
        <f>27683+108843+51606+2290+327404</f>
        <v>517826</v>
      </c>
      <c r="J21" s="12"/>
      <c r="K21" s="12">
        <v>0</v>
      </c>
      <c r="L21" s="12"/>
      <c r="M21" s="12">
        <v>0</v>
      </c>
      <c r="N21" s="12"/>
      <c r="O21" s="12">
        <v>0</v>
      </c>
      <c r="P21" s="12"/>
      <c r="Q21" s="12">
        <v>40554</v>
      </c>
      <c r="R21" s="12"/>
      <c r="S21" s="12">
        <v>0</v>
      </c>
      <c r="T21" s="12"/>
      <c r="U21" s="12">
        <v>0</v>
      </c>
      <c r="V21" s="12"/>
      <c r="W21" s="12">
        <v>65000</v>
      </c>
      <c r="X21" s="12"/>
      <c r="Y21" s="12">
        <v>0</v>
      </c>
      <c r="Z21" s="12"/>
      <c r="AA21" s="12">
        <v>0</v>
      </c>
      <c r="AC21" s="12">
        <f t="shared" si="0"/>
        <v>623380</v>
      </c>
    </row>
    <row r="22" spans="1:29" s="11" customFormat="1" ht="12">
      <c r="A22" s="11" t="s">
        <v>181</v>
      </c>
      <c r="C22" s="11" t="s">
        <v>104</v>
      </c>
      <c r="E22" s="12">
        <v>247428.17</v>
      </c>
      <c r="F22" s="12"/>
      <c r="G22" s="12">
        <v>96966.22</v>
      </c>
      <c r="H22" s="12"/>
      <c r="I22" s="12">
        <v>46355.09</v>
      </c>
      <c r="J22" s="12"/>
      <c r="K22" s="12">
        <v>122796.9</v>
      </c>
      <c r="L22" s="12"/>
      <c r="M22" s="12">
        <v>17944.31</v>
      </c>
      <c r="N22" s="12"/>
      <c r="O22" s="12">
        <v>5214.95</v>
      </c>
      <c r="P22" s="12"/>
      <c r="Q22" s="12">
        <v>2773.17</v>
      </c>
      <c r="R22" s="12"/>
      <c r="S22" s="12">
        <v>0</v>
      </c>
      <c r="T22" s="12"/>
      <c r="U22" s="12">
        <v>0</v>
      </c>
      <c r="V22" s="12"/>
      <c r="W22" s="12">
        <v>0</v>
      </c>
      <c r="X22" s="12"/>
      <c r="Y22" s="12">
        <v>0</v>
      </c>
      <c r="Z22" s="12"/>
      <c r="AA22" s="12">
        <v>0</v>
      </c>
      <c r="AC22" s="12">
        <f t="shared" si="0"/>
        <v>539478.81</v>
      </c>
    </row>
    <row r="23" spans="1:29" s="11" customFormat="1" ht="12">
      <c r="A23" s="11" t="s">
        <v>182</v>
      </c>
      <c r="C23" s="11" t="s">
        <v>183</v>
      </c>
      <c r="E23" s="12">
        <v>36012</v>
      </c>
      <c r="F23" s="12"/>
      <c r="G23" s="12">
        <v>8857</v>
      </c>
      <c r="H23" s="12"/>
      <c r="I23" s="12">
        <v>16334</v>
      </c>
      <c r="J23" s="12"/>
      <c r="K23" s="12">
        <v>21651</v>
      </c>
      <c r="L23" s="12"/>
      <c r="M23" s="12">
        <v>6308</v>
      </c>
      <c r="N23" s="12"/>
      <c r="O23" s="12">
        <v>1609</v>
      </c>
      <c r="P23" s="12"/>
      <c r="Q23" s="12">
        <v>1553</v>
      </c>
      <c r="R23" s="12"/>
      <c r="S23" s="12">
        <v>0</v>
      </c>
      <c r="T23" s="12"/>
      <c r="U23" s="12">
        <v>0</v>
      </c>
      <c r="V23" s="12"/>
      <c r="W23" s="12">
        <v>0</v>
      </c>
      <c r="X23" s="12"/>
      <c r="Y23" s="12">
        <v>0</v>
      </c>
      <c r="Z23" s="12"/>
      <c r="AA23" s="12">
        <v>0</v>
      </c>
      <c r="AC23" s="12">
        <f t="shared" si="0"/>
        <v>92324</v>
      </c>
    </row>
    <row r="24" spans="1:29" s="11" customFormat="1" ht="12">
      <c r="A24" s="11" t="s">
        <v>184</v>
      </c>
      <c r="C24" s="11" t="s">
        <v>185</v>
      </c>
      <c r="E24" s="12">
        <v>0</v>
      </c>
      <c r="F24" s="12"/>
      <c r="G24" s="12">
        <v>0</v>
      </c>
      <c r="H24" s="12"/>
      <c r="I24" s="12">
        <v>875078</v>
      </c>
      <c r="J24" s="12"/>
      <c r="K24" s="12">
        <v>0</v>
      </c>
      <c r="L24" s="12"/>
      <c r="M24" s="12">
        <v>0</v>
      </c>
      <c r="N24" s="12"/>
      <c r="O24" s="12">
        <v>0</v>
      </c>
      <c r="P24" s="12"/>
      <c r="Q24" s="12">
        <v>23033</v>
      </c>
      <c r="R24" s="12"/>
      <c r="S24" s="12">
        <v>0</v>
      </c>
      <c r="T24" s="12"/>
      <c r="U24" s="12">
        <v>0</v>
      </c>
      <c r="V24" s="12"/>
      <c r="W24" s="12">
        <v>0</v>
      </c>
      <c r="X24" s="12"/>
      <c r="Y24" s="12">
        <v>0</v>
      </c>
      <c r="Z24" s="12"/>
      <c r="AA24" s="12">
        <v>0</v>
      </c>
      <c r="AC24" s="12">
        <f t="shared" si="0"/>
        <v>898111</v>
      </c>
    </row>
    <row r="25" spans="1:29" s="11" customFormat="1" ht="12">
      <c r="A25" s="11" t="s">
        <v>186</v>
      </c>
      <c r="C25" s="11" t="s">
        <v>138</v>
      </c>
      <c r="E25" s="12">
        <v>66970</v>
      </c>
      <c r="F25" s="12"/>
      <c r="G25" s="12">
        <v>9175</v>
      </c>
      <c r="H25" s="12"/>
      <c r="I25" s="12">
        <v>14196</v>
      </c>
      <c r="J25" s="12"/>
      <c r="K25" s="12">
        <v>29366</v>
      </c>
      <c r="L25" s="12"/>
      <c r="M25" s="12">
        <v>4203</v>
      </c>
      <c r="N25" s="12"/>
      <c r="O25" s="12">
        <v>933</v>
      </c>
      <c r="P25" s="12"/>
      <c r="Q25" s="12">
        <v>7096</v>
      </c>
      <c r="R25" s="12"/>
      <c r="S25" s="12">
        <v>0</v>
      </c>
      <c r="T25" s="12"/>
      <c r="U25" s="12">
        <v>0</v>
      </c>
      <c r="V25" s="12"/>
      <c r="W25" s="12">
        <v>0</v>
      </c>
      <c r="X25" s="12"/>
      <c r="Y25" s="12">
        <v>0</v>
      </c>
      <c r="Z25" s="12"/>
      <c r="AA25" s="12">
        <v>0</v>
      </c>
      <c r="AC25" s="12">
        <f t="shared" si="0"/>
        <v>131939</v>
      </c>
    </row>
    <row r="26" spans="1:29" s="11" customFormat="1" ht="12">
      <c r="A26" s="11" t="s">
        <v>449</v>
      </c>
      <c r="C26" s="11" t="s">
        <v>188</v>
      </c>
      <c r="E26" s="12">
        <v>1139863</v>
      </c>
      <c r="F26" s="12"/>
      <c r="G26" s="12">
        <v>337519</v>
      </c>
      <c r="H26" s="12"/>
      <c r="I26" s="12">
        <v>169851</v>
      </c>
      <c r="J26" s="12"/>
      <c r="K26" s="12">
        <v>274044</v>
      </c>
      <c r="L26" s="12"/>
      <c r="M26" s="12">
        <v>37648</v>
      </c>
      <c r="N26" s="12"/>
      <c r="O26" s="12">
        <v>6221</v>
      </c>
      <c r="P26" s="12"/>
      <c r="Q26" s="12">
        <v>11231</v>
      </c>
      <c r="R26" s="12"/>
      <c r="S26" s="12">
        <v>0</v>
      </c>
      <c r="T26" s="12"/>
      <c r="U26" s="12">
        <v>0</v>
      </c>
      <c r="V26" s="12"/>
      <c r="W26" s="12">
        <v>0</v>
      </c>
      <c r="X26" s="12"/>
      <c r="Y26" s="12">
        <v>0</v>
      </c>
      <c r="Z26" s="12"/>
      <c r="AA26" s="12">
        <v>0</v>
      </c>
      <c r="AC26" s="12">
        <f t="shared" si="0"/>
        <v>1976377</v>
      </c>
    </row>
    <row r="27" spans="1:29" s="11" customFormat="1" ht="12">
      <c r="A27" s="11" t="s">
        <v>189</v>
      </c>
      <c r="C27" s="11" t="s">
        <v>190</v>
      </c>
      <c r="E27" s="12">
        <v>981045</v>
      </c>
      <c r="F27" s="12"/>
      <c r="G27" s="12">
        <v>270612</v>
      </c>
      <c r="H27" s="12"/>
      <c r="I27" s="12">
        <v>201481</v>
      </c>
      <c r="J27" s="12"/>
      <c r="K27" s="12">
        <v>268617</v>
      </c>
      <c r="L27" s="12"/>
      <c r="M27" s="12">
        <v>55984</v>
      </c>
      <c r="N27" s="12"/>
      <c r="O27" s="12">
        <v>5899</v>
      </c>
      <c r="P27" s="12"/>
      <c r="Q27" s="12">
        <v>24852</v>
      </c>
      <c r="R27" s="12"/>
      <c r="S27" s="12">
        <v>0</v>
      </c>
      <c r="T27" s="12"/>
      <c r="U27" s="12">
        <v>0</v>
      </c>
      <c r="V27" s="12"/>
      <c r="W27" s="12">
        <v>0</v>
      </c>
      <c r="X27" s="12"/>
      <c r="Y27" s="12">
        <v>0</v>
      </c>
      <c r="Z27" s="12"/>
      <c r="AA27" s="12">
        <v>0</v>
      </c>
      <c r="AC27" s="12">
        <f t="shared" si="0"/>
        <v>1808490</v>
      </c>
    </row>
    <row r="28" spans="1:29" s="11" customFormat="1" ht="12">
      <c r="A28" s="11" t="s">
        <v>191</v>
      </c>
      <c r="C28" s="11" t="s">
        <v>162</v>
      </c>
      <c r="E28" s="12">
        <v>396479</v>
      </c>
      <c r="F28" s="12"/>
      <c r="G28" s="12">
        <v>571</v>
      </c>
      <c r="H28" s="12"/>
      <c r="I28" s="12">
        <v>87927</v>
      </c>
      <c r="J28" s="12"/>
      <c r="K28" s="12">
        <v>77853</v>
      </c>
      <c r="L28" s="12"/>
      <c r="M28" s="12">
        <v>17287</v>
      </c>
      <c r="N28" s="12"/>
      <c r="O28" s="12">
        <v>3521</v>
      </c>
      <c r="P28" s="12"/>
      <c r="Q28" s="12">
        <f>73426+16081</f>
        <v>89507</v>
      </c>
      <c r="R28" s="12"/>
      <c r="S28" s="12">
        <v>0</v>
      </c>
      <c r="T28" s="12"/>
      <c r="U28" s="12">
        <v>0</v>
      </c>
      <c r="V28" s="12"/>
      <c r="W28" s="12">
        <v>0</v>
      </c>
      <c r="X28" s="12"/>
      <c r="Y28" s="12">
        <v>0</v>
      </c>
      <c r="Z28" s="12"/>
      <c r="AA28" s="12">
        <v>0</v>
      </c>
      <c r="AC28" s="12">
        <f t="shared" si="0"/>
        <v>673145</v>
      </c>
    </row>
    <row r="29" spans="1:29" s="11" customFormat="1" ht="12">
      <c r="A29" s="11" t="s">
        <v>192</v>
      </c>
      <c r="C29" s="11" t="s">
        <v>138</v>
      </c>
      <c r="E29" s="12">
        <v>82703.48</v>
      </c>
      <c r="F29" s="12"/>
      <c r="G29" s="12">
        <v>11870.77</v>
      </c>
      <c r="H29" s="12"/>
      <c r="I29" s="12">
        <v>17308.96</v>
      </c>
      <c r="J29" s="12"/>
      <c r="K29" s="12">
        <v>32537.82</v>
      </c>
      <c r="L29" s="12"/>
      <c r="M29" s="12">
        <v>5606.32</v>
      </c>
      <c r="N29" s="12"/>
      <c r="O29" s="12">
        <v>5216</v>
      </c>
      <c r="P29" s="12"/>
      <c r="Q29" s="12">
        <v>6016.99</v>
      </c>
      <c r="R29" s="12"/>
      <c r="S29" s="12">
        <v>0</v>
      </c>
      <c r="T29" s="12"/>
      <c r="U29" s="12">
        <v>0</v>
      </c>
      <c r="V29" s="12"/>
      <c r="W29" s="12">
        <v>4767.93</v>
      </c>
      <c r="X29" s="12"/>
      <c r="Y29" s="12">
        <v>0</v>
      </c>
      <c r="Z29" s="12"/>
      <c r="AA29" s="12">
        <v>0</v>
      </c>
      <c r="AC29" s="12">
        <f t="shared" si="0"/>
        <v>166028.27</v>
      </c>
    </row>
    <row r="30" spans="1:29" s="11" customFormat="1" ht="12">
      <c r="A30" s="11" t="s">
        <v>450</v>
      </c>
      <c r="C30" s="11" t="s">
        <v>194</v>
      </c>
      <c r="E30" s="12">
        <v>170597.55</v>
      </c>
      <c r="F30" s="12"/>
      <c r="G30" s="12">
        <v>40273.05</v>
      </c>
      <c r="H30" s="12"/>
      <c r="I30" s="12">
        <v>74872.9</v>
      </c>
      <c r="J30" s="12"/>
      <c r="K30" s="12">
        <v>65456.17</v>
      </c>
      <c r="L30" s="12"/>
      <c r="M30" s="12">
        <v>8474.14</v>
      </c>
      <c r="N30" s="12"/>
      <c r="O30" s="12">
        <v>3909.69</v>
      </c>
      <c r="P30" s="12"/>
      <c r="Q30" s="12">
        <v>42214.52</v>
      </c>
      <c r="R30" s="12"/>
      <c r="S30" s="12">
        <v>0</v>
      </c>
      <c r="T30" s="12"/>
      <c r="U30" s="12">
        <v>0</v>
      </c>
      <c r="V30" s="12"/>
      <c r="W30" s="12">
        <v>0</v>
      </c>
      <c r="X30" s="12"/>
      <c r="Y30" s="12">
        <v>0</v>
      </c>
      <c r="Z30" s="12"/>
      <c r="AA30" s="12">
        <v>0</v>
      </c>
      <c r="AC30" s="12">
        <f t="shared" si="0"/>
        <v>405798.02</v>
      </c>
    </row>
    <row r="31" spans="1:29" s="11" customFormat="1" ht="12">
      <c r="A31" s="11" t="s">
        <v>195</v>
      </c>
      <c r="C31" s="11" t="s">
        <v>139</v>
      </c>
      <c r="E31" s="12">
        <v>101574.15</v>
      </c>
      <c r="F31" s="12"/>
      <c r="G31" s="12">
        <v>24972.15</v>
      </c>
      <c r="H31" s="12"/>
      <c r="I31" s="12">
        <v>37943.31</v>
      </c>
      <c r="J31" s="12"/>
      <c r="K31" s="12">
        <v>32309.78</v>
      </c>
      <c r="L31" s="12"/>
      <c r="M31" s="12">
        <v>5802.08</v>
      </c>
      <c r="N31" s="12"/>
      <c r="O31" s="12">
        <v>691</v>
      </c>
      <c r="P31" s="12"/>
      <c r="Q31" s="12">
        <v>25631.99</v>
      </c>
      <c r="R31" s="12"/>
      <c r="S31" s="12">
        <v>0</v>
      </c>
      <c r="T31" s="12"/>
      <c r="U31" s="12">
        <v>0</v>
      </c>
      <c r="V31" s="12"/>
      <c r="W31" s="12">
        <v>27000</v>
      </c>
      <c r="X31" s="12"/>
      <c r="Y31" s="12">
        <v>0</v>
      </c>
      <c r="Z31" s="12"/>
      <c r="AA31" s="12">
        <v>0</v>
      </c>
      <c r="AC31" s="12">
        <f t="shared" si="0"/>
        <v>255924.45999999996</v>
      </c>
    </row>
    <row r="32" spans="1:29" s="11" customFormat="1" ht="12">
      <c r="A32" s="11" t="s">
        <v>196</v>
      </c>
      <c r="C32" s="11" t="s">
        <v>146</v>
      </c>
      <c r="E32" s="12">
        <v>114898.35</v>
      </c>
      <c r="F32" s="12"/>
      <c r="G32" s="12">
        <v>21063.18</v>
      </c>
      <c r="H32" s="12"/>
      <c r="I32" s="12">
        <v>43425.9</v>
      </c>
      <c r="J32" s="12"/>
      <c r="K32" s="12">
        <v>28997.97</v>
      </c>
      <c r="L32" s="12"/>
      <c r="M32" s="12">
        <v>8211.49</v>
      </c>
      <c r="N32" s="12"/>
      <c r="O32" s="12">
        <v>1985.41</v>
      </c>
      <c r="P32" s="12"/>
      <c r="Q32" s="12">
        <v>1776.53</v>
      </c>
      <c r="R32" s="12"/>
      <c r="S32" s="12">
        <v>0</v>
      </c>
      <c r="T32" s="12"/>
      <c r="U32" s="12">
        <v>0</v>
      </c>
      <c r="V32" s="12"/>
      <c r="W32" s="12">
        <v>10000</v>
      </c>
      <c r="X32" s="12"/>
      <c r="Y32" s="12">
        <v>0</v>
      </c>
      <c r="Z32" s="12"/>
      <c r="AA32" s="12">
        <v>0</v>
      </c>
      <c r="AC32" s="12">
        <f t="shared" si="0"/>
        <v>230358.83</v>
      </c>
    </row>
    <row r="33" spans="1:29" s="11" customFormat="1" ht="12">
      <c r="A33" s="11" t="s">
        <v>451</v>
      </c>
      <c r="C33" s="11" t="s">
        <v>198</v>
      </c>
      <c r="E33" s="12">
        <v>1248941</v>
      </c>
      <c r="F33" s="12"/>
      <c r="G33" s="12">
        <v>491829</v>
      </c>
      <c r="H33" s="12"/>
      <c r="I33" s="12">
        <v>231137</v>
      </c>
      <c r="J33" s="12"/>
      <c r="K33" s="12">
        <v>300590</v>
      </c>
      <c r="L33" s="12"/>
      <c r="M33" s="12">
        <v>46183</v>
      </c>
      <c r="N33" s="12"/>
      <c r="O33" s="12">
        <v>9483</v>
      </c>
      <c r="P33" s="12"/>
      <c r="Q33" s="12">
        <v>1583764</v>
      </c>
      <c r="R33" s="12"/>
      <c r="S33" s="12">
        <v>0</v>
      </c>
      <c r="T33" s="12"/>
      <c r="U33" s="12">
        <v>0</v>
      </c>
      <c r="V33" s="12"/>
      <c r="W33" s="12">
        <v>0</v>
      </c>
      <c r="X33" s="12"/>
      <c r="Y33" s="12">
        <v>0</v>
      </c>
      <c r="Z33" s="12"/>
      <c r="AA33" s="12">
        <v>0</v>
      </c>
      <c r="AC33" s="12">
        <f t="shared" si="0"/>
        <v>3911927</v>
      </c>
    </row>
    <row r="34" spans="1:29" s="11" customFormat="1" ht="12">
      <c r="A34" s="11" t="s">
        <v>199</v>
      </c>
      <c r="C34" s="11" t="s">
        <v>149</v>
      </c>
      <c r="E34" s="12">
        <v>207076</v>
      </c>
      <c r="F34" s="12"/>
      <c r="G34" s="12">
        <v>69235</v>
      </c>
      <c r="H34" s="12"/>
      <c r="I34" s="12">
        <v>95481</v>
      </c>
      <c r="J34" s="12"/>
      <c r="K34" s="12">
        <v>95953</v>
      </c>
      <c r="L34" s="12"/>
      <c r="M34" s="12">
        <v>8055</v>
      </c>
      <c r="N34" s="12"/>
      <c r="O34" s="12">
        <v>5410</v>
      </c>
      <c r="P34" s="12"/>
      <c r="Q34" s="12">
        <v>12227</v>
      </c>
      <c r="R34" s="12"/>
      <c r="S34" s="12">
        <v>0</v>
      </c>
      <c r="T34" s="12"/>
      <c r="U34" s="12">
        <v>0</v>
      </c>
      <c r="V34" s="12"/>
      <c r="W34" s="12">
        <v>0</v>
      </c>
      <c r="X34" s="12"/>
      <c r="Y34" s="12">
        <v>0</v>
      </c>
      <c r="Z34" s="12"/>
      <c r="AA34" s="12">
        <v>0</v>
      </c>
      <c r="AC34" s="12">
        <f t="shared" si="0"/>
        <v>493437</v>
      </c>
    </row>
    <row r="35" spans="1:29" s="11" customFormat="1" ht="12">
      <c r="A35" s="11" t="s">
        <v>125</v>
      </c>
      <c r="C35" s="11" t="s">
        <v>140</v>
      </c>
      <c r="E35" s="12">
        <v>0</v>
      </c>
      <c r="F35" s="12"/>
      <c r="G35" s="12">
        <v>0</v>
      </c>
      <c r="H35" s="12"/>
      <c r="I35" s="12">
        <v>0</v>
      </c>
      <c r="J35" s="12"/>
      <c r="K35" s="12">
        <v>92387</v>
      </c>
      <c r="L35" s="12"/>
      <c r="M35" s="12">
        <v>0</v>
      </c>
      <c r="N35" s="12"/>
      <c r="O35" s="12">
        <v>1337</v>
      </c>
      <c r="P35" s="12"/>
      <c r="Q35" s="12">
        <v>0</v>
      </c>
      <c r="R35" s="12"/>
      <c r="S35" s="12">
        <v>0</v>
      </c>
      <c r="T35" s="12"/>
      <c r="U35" s="12">
        <v>0</v>
      </c>
      <c r="V35" s="12"/>
      <c r="W35" s="12">
        <v>0</v>
      </c>
      <c r="X35" s="12"/>
      <c r="Y35" s="12">
        <v>0</v>
      </c>
      <c r="Z35" s="12"/>
      <c r="AA35" s="12">
        <v>0</v>
      </c>
      <c r="AC35" s="12">
        <f t="shared" si="0"/>
        <v>93724</v>
      </c>
    </row>
    <row r="36" spans="1:29" s="11" customFormat="1" ht="12">
      <c r="A36" s="11" t="s">
        <v>200</v>
      </c>
      <c r="C36" s="11" t="s">
        <v>201</v>
      </c>
      <c r="E36" s="12">
        <v>484578.37</v>
      </c>
      <c r="F36" s="12"/>
      <c r="G36" s="12">
        <v>107537.64</v>
      </c>
      <c r="H36" s="12"/>
      <c r="I36" s="12">
        <v>188022.14</v>
      </c>
      <c r="J36" s="12"/>
      <c r="K36" s="12">
        <v>111264.8</v>
      </c>
      <c r="L36" s="12"/>
      <c r="M36" s="12">
        <v>15288.75</v>
      </c>
      <c r="N36" s="12"/>
      <c r="O36" s="12">
        <v>10111.46</v>
      </c>
      <c r="P36" s="12"/>
      <c r="Q36" s="12">
        <v>16123.9</v>
      </c>
      <c r="R36" s="12"/>
      <c r="S36" s="12">
        <v>0</v>
      </c>
      <c r="T36" s="12"/>
      <c r="U36" s="12">
        <v>0</v>
      </c>
      <c r="V36" s="12"/>
      <c r="W36" s="12">
        <v>0</v>
      </c>
      <c r="X36" s="12"/>
      <c r="Y36" s="12">
        <v>0</v>
      </c>
      <c r="Z36" s="12"/>
      <c r="AA36" s="12">
        <v>0</v>
      </c>
      <c r="AC36" s="12">
        <f t="shared" si="0"/>
        <v>932927.06</v>
      </c>
    </row>
    <row r="37" spans="1:29" s="11" customFormat="1" ht="12">
      <c r="A37" s="11" t="s">
        <v>202</v>
      </c>
      <c r="C37" s="11" t="s">
        <v>145</v>
      </c>
      <c r="E37" s="12">
        <f>13367+2162+14293</f>
        <v>29822</v>
      </c>
      <c r="F37" s="12"/>
      <c r="G37" s="12">
        <v>0</v>
      </c>
      <c r="H37" s="12"/>
      <c r="I37" s="12">
        <f>12482+18714+48571+8511+1438+18546+8342</f>
        <v>116604</v>
      </c>
      <c r="J37" s="12"/>
      <c r="K37" s="12">
        <f>44406+6473+10980+18274</f>
        <v>80133</v>
      </c>
      <c r="L37" s="12"/>
      <c r="M37" s="12">
        <v>0</v>
      </c>
      <c r="N37" s="12"/>
      <c r="O37" s="12">
        <f>2912+5869</f>
        <v>8781</v>
      </c>
      <c r="P37" s="12"/>
      <c r="Q37" s="12">
        <f>442525+158630</f>
        <v>601155</v>
      </c>
      <c r="R37" s="12"/>
      <c r="S37" s="12">
        <v>0</v>
      </c>
      <c r="T37" s="12"/>
      <c r="U37" s="12">
        <v>0</v>
      </c>
      <c r="V37" s="12"/>
      <c r="W37" s="12">
        <v>0</v>
      </c>
      <c r="X37" s="12"/>
      <c r="Y37" s="12">
        <v>0</v>
      </c>
      <c r="Z37" s="12"/>
      <c r="AA37" s="12">
        <v>0</v>
      </c>
      <c r="AC37" s="12">
        <f t="shared" si="0"/>
        <v>836495</v>
      </c>
    </row>
    <row r="38" spans="1:29" s="11" customFormat="1" ht="12">
      <c r="A38" s="11" t="s">
        <v>203</v>
      </c>
      <c r="C38" s="11" t="s">
        <v>108</v>
      </c>
      <c r="E38" s="12">
        <v>384485.41</v>
      </c>
      <c r="F38" s="12"/>
      <c r="G38" s="12">
        <v>78657.13</v>
      </c>
      <c r="H38" s="12"/>
      <c r="I38" s="12">
        <v>153081.3</v>
      </c>
      <c r="J38" s="12"/>
      <c r="K38" s="12">
        <v>112080.59</v>
      </c>
      <c r="L38" s="12"/>
      <c r="M38" s="12">
        <v>27562.69</v>
      </c>
      <c r="N38" s="12"/>
      <c r="O38" s="12">
        <v>7222.34</v>
      </c>
      <c r="P38" s="12"/>
      <c r="Q38" s="12">
        <v>49601.11</v>
      </c>
      <c r="R38" s="12"/>
      <c r="S38" s="12">
        <v>15000</v>
      </c>
      <c r="T38" s="12"/>
      <c r="U38" s="12">
        <v>4851</v>
      </c>
      <c r="V38" s="12"/>
      <c r="W38" s="12">
        <v>0</v>
      </c>
      <c r="X38" s="12"/>
      <c r="Y38" s="12">
        <v>0</v>
      </c>
      <c r="Z38" s="12"/>
      <c r="AA38" s="12">
        <v>0</v>
      </c>
      <c r="AC38" s="12">
        <f t="shared" si="0"/>
        <v>832541.5699999998</v>
      </c>
    </row>
    <row r="39" spans="1:29" s="11" customFormat="1" ht="12">
      <c r="A39" s="11" t="s">
        <v>204</v>
      </c>
      <c r="C39" s="11" t="s">
        <v>205</v>
      </c>
      <c r="E39" s="12">
        <v>223054.59</v>
      </c>
      <c r="F39" s="12"/>
      <c r="G39" s="12">
        <v>61691.79</v>
      </c>
      <c r="H39" s="12"/>
      <c r="I39" s="12">
        <v>83542.65</v>
      </c>
      <c r="J39" s="12"/>
      <c r="K39" s="12">
        <v>72025.43</v>
      </c>
      <c r="L39" s="12"/>
      <c r="M39" s="12">
        <v>6070.1</v>
      </c>
      <c r="N39" s="12"/>
      <c r="O39" s="12">
        <v>2391.23</v>
      </c>
      <c r="P39" s="12"/>
      <c r="Q39" s="12">
        <v>46938.1</v>
      </c>
      <c r="R39" s="12"/>
      <c r="S39" s="12">
        <v>0</v>
      </c>
      <c r="T39" s="12"/>
      <c r="U39" s="12">
        <v>0</v>
      </c>
      <c r="V39" s="12"/>
      <c r="W39" s="12">
        <v>0</v>
      </c>
      <c r="X39" s="12"/>
      <c r="Y39" s="12">
        <v>0</v>
      </c>
      <c r="Z39" s="12"/>
      <c r="AA39" s="12">
        <v>0</v>
      </c>
      <c r="AC39" s="12">
        <f t="shared" si="0"/>
        <v>495713.88999999996</v>
      </c>
    </row>
    <row r="40" spans="1:29" s="11" customFormat="1" ht="12">
      <c r="A40" s="11" t="s">
        <v>206</v>
      </c>
      <c r="C40" s="11" t="s">
        <v>116</v>
      </c>
      <c r="E40" s="12">
        <v>338924.05</v>
      </c>
      <c r="F40" s="12"/>
      <c r="G40" s="12">
        <v>83246.43</v>
      </c>
      <c r="H40" s="12"/>
      <c r="I40" s="12">
        <v>102323.04</v>
      </c>
      <c r="J40" s="12"/>
      <c r="K40" s="12">
        <v>151167.18</v>
      </c>
      <c r="L40" s="12"/>
      <c r="M40" s="12">
        <v>14907.61</v>
      </c>
      <c r="N40" s="12"/>
      <c r="O40" s="12">
        <v>3583.85</v>
      </c>
      <c r="P40" s="12"/>
      <c r="Q40" s="12">
        <v>21850.27</v>
      </c>
      <c r="R40" s="12"/>
      <c r="S40" s="12">
        <v>0</v>
      </c>
      <c r="T40" s="12"/>
      <c r="U40" s="12">
        <v>0</v>
      </c>
      <c r="V40" s="12"/>
      <c r="W40" s="12">
        <v>0</v>
      </c>
      <c r="X40" s="12"/>
      <c r="Y40" s="12">
        <v>0</v>
      </c>
      <c r="Z40" s="12"/>
      <c r="AA40" s="12">
        <v>0</v>
      </c>
      <c r="AC40" s="12">
        <f t="shared" si="0"/>
        <v>716002.4299999999</v>
      </c>
    </row>
    <row r="41" spans="1:29" s="11" customFormat="1" ht="12">
      <c r="A41" s="11" t="s">
        <v>207</v>
      </c>
      <c r="C41" s="11" t="s">
        <v>161</v>
      </c>
      <c r="E41" s="12">
        <v>142378</v>
      </c>
      <c r="F41" s="12"/>
      <c r="G41" s="12">
        <v>22800</v>
      </c>
      <c r="H41" s="12"/>
      <c r="I41" s="12">
        <v>44860</v>
      </c>
      <c r="J41" s="12"/>
      <c r="K41" s="12">
        <v>34495</v>
      </c>
      <c r="L41" s="12"/>
      <c r="M41" s="12">
        <v>9640</v>
      </c>
      <c r="N41" s="12"/>
      <c r="O41" s="12">
        <v>2403</v>
      </c>
      <c r="P41" s="12"/>
      <c r="Q41" s="12">
        <v>34331</v>
      </c>
      <c r="R41" s="12"/>
      <c r="S41" s="12">
        <v>0</v>
      </c>
      <c r="T41" s="12"/>
      <c r="U41" s="12">
        <v>0</v>
      </c>
      <c r="V41" s="12"/>
      <c r="W41" s="12">
        <v>0</v>
      </c>
      <c r="X41" s="12"/>
      <c r="Y41" s="12">
        <v>0</v>
      </c>
      <c r="Z41" s="12"/>
      <c r="AA41" s="12">
        <v>0</v>
      </c>
      <c r="AC41" s="12">
        <f t="shared" si="0"/>
        <v>290907</v>
      </c>
    </row>
    <row r="42" spans="1:29" s="11" customFormat="1" ht="12">
      <c r="A42" s="11" t="s">
        <v>208</v>
      </c>
      <c r="C42" s="11" t="s">
        <v>144</v>
      </c>
      <c r="E42" s="12">
        <v>392112</v>
      </c>
      <c r="F42" s="12"/>
      <c r="G42" s="12">
        <v>170453</v>
      </c>
      <c r="H42" s="12"/>
      <c r="I42" s="12">
        <v>79472</v>
      </c>
      <c r="J42" s="12"/>
      <c r="K42" s="12">
        <v>175502</v>
      </c>
      <c r="L42" s="12"/>
      <c r="M42" s="12">
        <v>17553</v>
      </c>
      <c r="N42" s="12"/>
      <c r="O42" s="12">
        <v>20762</v>
      </c>
      <c r="P42" s="12"/>
      <c r="Q42" s="12">
        <v>0</v>
      </c>
      <c r="R42" s="12"/>
      <c r="S42" s="12">
        <v>0</v>
      </c>
      <c r="T42" s="12"/>
      <c r="U42" s="12">
        <v>0</v>
      </c>
      <c r="V42" s="12"/>
      <c r="W42" s="12">
        <v>0</v>
      </c>
      <c r="X42" s="12"/>
      <c r="Y42" s="12">
        <v>0</v>
      </c>
      <c r="Z42" s="12"/>
      <c r="AA42" s="12">
        <v>0</v>
      </c>
      <c r="AC42" s="12">
        <f t="shared" si="0"/>
        <v>855854</v>
      </c>
    </row>
    <row r="43" spans="1:29" s="11" customFormat="1" ht="12">
      <c r="A43" s="11" t="s">
        <v>208</v>
      </c>
      <c r="C43" s="11" t="s">
        <v>209</v>
      </c>
      <c r="E43" s="12">
        <v>0</v>
      </c>
      <c r="F43" s="12"/>
      <c r="G43" s="12">
        <v>0</v>
      </c>
      <c r="H43" s="12"/>
      <c r="I43" s="12">
        <f>102684+27064+298813+65741</f>
        <v>494302</v>
      </c>
      <c r="J43" s="12"/>
      <c r="K43" s="12">
        <f>441262+118549</f>
        <v>559811</v>
      </c>
      <c r="L43" s="12"/>
      <c r="M43" s="12">
        <v>0</v>
      </c>
      <c r="N43" s="12"/>
      <c r="O43" s="12">
        <v>0</v>
      </c>
      <c r="P43" s="12"/>
      <c r="Q43" s="12">
        <v>0</v>
      </c>
      <c r="R43" s="12"/>
      <c r="S43" s="12">
        <v>0</v>
      </c>
      <c r="T43" s="12"/>
      <c r="U43" s="12">
        <v>0</v>
      </c>
      <c r="V43" s="12"/>
      <c r="W43" s="12">
        <v>109950</v>
      </c>
      <c r="X43" s="12"/>
      <c r="Y43" s="12">
        <v>0</v>
      </c>
      <c r="Z43" s="12"/>
      <c r="AA43" s="12">
        <v>0</v>
      </c>
      <c r="AC43" s="12">
        <f t="shared" si="0"/>
        <v>1164063</v>
      </c>
    </row>
    <row r="44" spans="1:29" s="11" customFormat="1" ht="12">
      <c r="A44" s="11" t="s">
        <v>210</v>
      </c>
      <c r="C44" s="11" t="s">
        <v>141</v>
      </c>
      <c r="E44" s="12">
        <v>359571.79</v>
      </c>
      <c r="F44" s="12"/>
      <c r="G44" s="12">
        <v>118797.98</v>
      </c>
      <c r="H44" s="12"/>
      <c r="I44" s="12">
        <v>84287.53</v>
      </c>
      <c r="J44" s="12"/>
      <c r="K44" s="12">
        <v>112984.45</v>
      </c>
      <c r="L44" s="12"/>
      <c r="M44" s="12">
        <v>28899.43</v>
      </c>
      <c r="N44" s="12"/>
      <c r="O44" s="12">
        <v>39934</v>
      </c>
      <c r="P44" s="12"/>
      <c r="Q44" s="12">
        <v>33500</v>
      </c>
      <c r="R44" s="12"/>
      <c r="S44" s="12">
        <v>0</v>
      </c>
      <c r="T44" s="12"/>
      <c r="U44" s="12">
        <v>0</v>
      </c>
      <c r="V44" s="12"/>
      <c r="W44" s="12">
        <v>0</v>
      </c>
      <c r="X44" s="12"/>
      <c r="Y44" s="12">
        <v>12311.76</v>
      </c>
      <c r="Z44" s="12"/>
      <c r="AA44" s="12">
        <v>0</v>
      </c>
      <c r="AC44" s="12">
        <f t="shared" si="0"/>
        <v>790286.94</v>
      </c>
    </row>
    <row r="45" spans="1:29" s="11" customFormat="1" ht="12">
      <c r="A45" s="11" t="s">
        <v>211</v>
      </c>
      <c r="C45" s="11" t="s">
        <v>107</v>
      </c>
      <c r="E45" s="12">
        <v>123394</v>
      </c>
      <c r="F45" s="12"/>
      <c r="G45" s="12">
        <v>19158</v>
      </c>
      <c r="H45" s="12"/>
      <c r="I45" s="12">
        <v>19076</v>
      </c>
      <c r="J45" s="12"/>
      <c r="K45" s="12">
        <v>35994</v>
      </c>
      <c r="L45" s="12"/>
      <c r="M45" s="12">
        <v>5866</v>
      </c>
      <c r="N45" s="12"/>
      <c r="O45" s="12">
        <v>2356</v>
      </c>
      <c r="P45" s="12"/>
      <c r="Q45" s="12">
        <v>1341</v>
      </c>
      <c r="R45" s="12"/>
      <c r="S45" s="12">
        <v>0</v>
      </c>
      <c r="T45" s="12"/>
      <c r="U45" s="12">
        <v>0</v>
      </c>
      <c r="V45" s="12"/>
      <c r="W45" s="12">
        <v>0</v>
      </c>
      <c r="X45" s="12"/>
      <c r="Y45" s="12">
        <v>0</v>
      </c>
      <c r="Z45" s="12"/>
      <c r="AA45" s="12">
        <v>0</v>
      </c>
      <c r="AC45" s="12">
        <f t="shared" si="0"/>
        <v>207185</v>
      </c>
    </row>
    <row r="46" spans="1:29" s="11" customFormat="1" ht="12">
      <c r="A46" s="11" t="s">
        <v>452</v>
      </c>
      <c r="C46" s="11" t="s">
        <v>155</v>
      </c>
      <c r="E46" s="12">
        <v>470011</v>
      </c>
      <c r="F46" s="12"/>
      <c r="G46" s="12">
        <v>114456</v>
      </c>
      <c r="H46" s="12"/>
      <c r="I46" s="12">
        <v>190415</v>
      </c>
      <c r="J46" s="12"/>
      <c r="K46" s="12">
        <v>142708</v>
      </c>
      <c r="L46" s="12"/>
      <c r="M46" s="12">
        <v>27048</v>
      </c>
      <c r="N46" s="12"/>
      <c r="O46" s="12">
        <v>4659</v>
      </c>
      <c r="P46" s="12"/>
      <c r="Q46" s="12">
        <v>17588</v>
      </c>
      <c r="R46" s="12"/>
      <c r="S46" s="12">
        <v>0</v>
      </c>
      <c r="T46" s="12"/>
      <c r="U46" s="12">
        <v>0</v>
      </c>
      <c r="V46" s="12"/>
      <c r="W46" s="12">
        <v>0</v>
      </c>
      <c r="X46" s="12"/>
      <c r="Y46" s="12">
        <v>0</v>
      </c>
      <c r="Z46" s="12"/>
      <c r="AA46" s="12">
        <v>0</v>
      </c>
      <c r="AC46" s="12">
        <f t="shared" si="0"/>
        <v>966885</v>
      </c>
    </row>
    <row r="47" spans="1:29" s="11" customFormat="1" ht="12">
      <c r="A47" s="11" t="s">
        <v>495</v>
      </c>
      <c r="C47" s="11" t="s">
        <v>142</v>
      </c>
      <c r="E47" s="12">
        <v>1390528.48</v>
      </c>
      <c r="F47" s="12"/>
      <c r="G47" s="12">
        <v>448590.94</v>
      </c>
      <c r="H47" s="12"/>
      <c r="I47" s="12">
        <v>504563.76</v>
      </c>
      <c r="J47" s="12"/>
      <c r="K47" s="12">
        <v>362093.89</v>
      </c>
      <c r="L47" s="12"/>
      <c r="M47" s="12">
        <v>75678.72</v>
      </c>
      <c r="N47" s="12"/>
      <c r="O47" s="12">
        <v>10763.79</v>
      </c>
      <c r="P47" s="12"/>
      <c r="Q47" s="12">
        <v>387707.22</v>
      </c>
      <c r="R47" s="12"/>
      <c r="S47" s="12">
        <v>0</v>
      </c>
      <c r="T47" s="12"/>
      <c r="U47" s="12">
        <v>0</v>
      </c>
      <c r="V47" s="12"/>
      <c r="W47" s="12">
        <v>0</v>
      </c>
      <c r="X47" s="12"/>
      <c r="Y47" s="12">
        <v>0</v>
      </c>
      <c r="Z47" s="12"/>
      <c r="AA47" s="12">
        <v>0</v>
      </c>
      <c r="AC47" s="12">
        <f t="shared" si="0"/>
        <v>3179926.8</v>
      </c>
    </row>
    <row r="48" spans="1:29" s="11" customFormat="1" ht="12">
      <c r="A48" s="11" t="s">
        <v>214</v>
      </c>
      <c r="C48" s="11" t="s">
        <v>215</v>
      </c>
      <c r="E48" s="12">
        <v>2428068</v>
      </c>
      <c r="F48" s="12"/>
      <c r="G48" s="12">
        <v>951270</v>
      </c>
      <c r="H48" s="12"/>
      <c r="I48" s="12">
        <f>4375+1117865</f>
        <v>1122240</v>
      </c>
      <c r="J48" s="12"/>
      <c r="K48" s="12">
        <v>1463374</v>
      </c>
      <c r="L48" s="12"/>
      <c r="M48" s="12">
        <v>198869</v>
      </c>
      <c r="N48" s="12"/>
      <c r="O48" s="12">
        <v>11044</v>
      </c>
      <c r="P48" s="12"/>
      <c r="Q48" s="12">
        <f>121411+617789</f>
        <v>739200</v>
      </c>
      <c r="R48" s="12"/>
      <c r="S48" s="12">
        <v>240000</v>
      </c>
      <c r="T48" s="12"/>
      <c r="U48" s="12">
        <v>15000</v>
      </c>
      <c r="V48" s="12"/>
      <c r="W48" s="12">
        <v>35000</v>
      </c>
      <c r="X48" s="12"/>
      <c r="Y48" s="12">
        <v>0</v>
      </c>
      <c r="Z48" s="12"/>
      <c r="AA48" s="12">
        <v>0</v>
      </c>
      <c r="AC48" s="12">
        <f t="shared" si="0"/>
        <v>7204065</v>
      </c>
    </row>
    <row r="49" spans="1:29" s="11" customFormat="1" ht="12">
      <c r="A49" s="11" t="s">
        <v>491</v>
      </c>
      <c r="C49" s="11" t="s">
        <v>117</v>
      </c>
      <c r="E49" s="12">
        <v>215332.57</v>
      </c>
      <c r="F49" s="12"/>
      <c r="G49" s="12">
        <v>51036.55</v>
      </c>
      <c r="H49" s="12"/>
      <c r="I49" s="12">
        <v>46844.89</v>
      </c>
      <c r="J49" s="12"/>
      <c r="K49" s="12">
        <v>104109.1</v>
      </c>
      <c r="L49" s="12"/>
      <c r="M49" s="12">
        <v>16315.67</v>
      </c>
      <c r="N49" s="12"/>
      <c r="O49" s="12">
        <v>1067.88</v>
      </c>
      <c r="P49" s="12"/>
      <c r="Q49" s="12">
        <v>25058.06</v>
      </c>
      <c r="R49" s="12"/>
      <c r="S49" s="12">
        <v>0</v>
      </c>
      <c r="T49" s="12"/>
      <c r="U49" s="12">
        <v>0</v>
      </c>
      <c r="V49" s="12"/>
      <c r="W49" s="12">
        <v>0</v>
      </c>
      <c r="X49" s="12"/>
      <c r="Y49" s="12">
        <v>10000</v>
      </c>
      <c r="Z49" s="12"/>
      <c r="AA49" s="12">
        <v>0</v>
      </c>
      <c r="AC49" s="12">
        <f t="shared" si="0"/>
        <v>469764.72</v>
      </c>
    </row>
    <row r="50" spans="1:29" s="11" customFormat="1" ht="12">
      <c r="A50" s="11" t="s">
        <v>217</v>
      </c>
      <c r="C50" s="11" t="s">
        <v>218</v>
      </c>
      <c r="E50" s="12">
        <v>0</v>
      </c>
      <c r="F50" s="12"/>
      <c r="G50" s="12">
        <v>0</v>
      </c>
      <c r="H50" s="12"/>
      <c r="I50" s="12">
        <f>3299669+1588265+1309620+543424</f>
        <v>6740978</v>
      </c>
      <c r="J50" s="12"/>
      <c r="K50" s="12">
        <v>870543</v>
      </c>
      <c r="L50" s="12"/>
      <c r="M50" s="12">
        <v>0</v>
      </c>
      <c r="N50" s="12"/>
      <c r="O50" s="12">
        <v>0</v>
      </c>
      <c r="P50" s="12"/>
      <c r="Q50" s="12">
        <v>30526</v>
      </c>
      <c r="R50" s="12"/>
      <c r="S50" s="12">
        <v>197000</v>
      </c>
      <c r="T50" s="12"/>
      <c r="U50" s="12">
        <v>167423</v>
      </c>
      <c r="V50" s="12"/>
      <c r="W50" s="12">
        <v>594115</v>
      </c>
      <c r="X50" s="12"/>
      <c r="Y50" s="12">
        <v>6155</v>
      </c>
      <c r="Z50" s="12"/>
      <c r="AA50" s="12">
        <v>125000</v>
      </c>
      <c r="AC50" s="12">
        <f t="shared" si="0"/>
        <v>8731740</v>
      </c>
    </row>
    <row r="51" spans="1:29" s="11" customFormat="1" ht="12">
      <c r="A51" s="11" t="s">
        <v>596</v>
      </c>
      <c r="C51" s="11" t="s">
        <v>190</v>
      </c>
      <c r="E51" s="12">
        <v>5864854</v>
      </c>
      <c r="F51" s="12"/>
      <c r="G51" s="12">
        <v>1419563</v>
      </c>
      <c r="H51" s="12"/>
      <c r="I51" s="12">
        <v>0</v>
      </c>
      <c r="J51" s="12"/>
      <c r="K51" s="12">
        <v>0</v>
      </c>
      <c r="L51" s="12"/>
      <c r="M51" s="12">
        <v>0</v>
      </c>
      <c r="N51" s="12"/>
      <c r="O51" s="12">
        <v>0</v>
      </c>
      <c r="P51" s="12"/>
      <c r="Q51" s="12">
        <v>6436493</v>
      </c>
      <c r="R51" s="12"/>
      <c r="S51" s="12">
        <v>82330</v>
      </c>
      <c r="T51" s="12"/>
      <c r="U51" s="12">
        <v>6500</v>
      </c>
      <c r="V51" s="12"/>
      <c r="W51" s="12">
        <v>712489</v>
      </c>
      <c r="X51" s="12"/>
      <c r="Y51" s="12">
        <v>0</v>
      </c>
      <c r="Z51" s="12"/>
      <c r="AA51" s="12">
        <v>0</v>
      </c>
      <c r="AC51" s="12">
        <f>SUM(E51:AA51)</f>
        <v>14522229</v>
      </c>
    </row>
    <row r="52" spans="1:29" s="11" customFormat="1" ht="12">
      <c r="A52" s="11" t="s">
        <v>597</v>
      </c>
      <c r="C52" s="11" t="s">
        <v>110</v>
      </c>
      <c r="E52" s="12">
        <v>0</v>
      </c>
      <c r="F52" s="12"/>
      <c r="G52" s="12">
        <v>24080087</v>
      </c>
      <c r="H52" s="12"/>
      <c r="I52" s="12">
        <v>39188521</v>
      </c>
      <c r="J52" s="12"/>
      <c r="K52" s="12">
        <v>0</v>
      </c>
      <c r="L52" s="12"/>
      <c r="M52" s="12">
        <v>0</v>
      </c>
      <c r="N52" s="12"/>
      <c r="O52" s="12">
        <v>0</v>
      </c>
      <c r="P52" s="12"/>
      <c r="Q52" s="12">
        <v>2347336</v>
      </c>
      <c r="R52" s="12"/>
      <c r="S52" s="12">
        <v>0</v>
      </c>
      <c r="T52" s="12"/>
      <c r="U52" s="12">
        <v>0</v>
      </c>
      <c r="V52" s="12"/>
      <c r="W52" s="12">
        <v>3000000</v>
      </c>
      <c r="X52" s="12"/>
      <c r="Y52" s="12">
        <v>0</v>
      </c>
      <c r="Z52" s="12"/>
      <c r="AA52" s="12">
        <v>0</v>
      </c>
      <c r="AC52" s="12">
        <f>SUM(E52:AA52)</f>
        <v>68615944</v>
      </c>
    </row>
    <row r="53" spans="1:29" s="11" customFormat="1" ht="12">
      <c r="A53" s="11" t="s">
        <v>219</v>
      </c>
      <c r="C53" s="11" t="s">
        <v>190</v>
      </c>
      <c r="E53" s="12">
        <v>254963</v>
      </c>
      <c r="F53" s="12"/>
      <c r="G53" s="12">
        <v>47756</v>
      </c>
      <c r="H53" s="12"/>
      <c r="I53" s="12">
        <v>70128</v>
      </c>
      <c r="J53" s="12"/>
      <c r="K53" s="12">
        <v>91030</v>
      </c>
      <c r="L53" s="12"/>
      <c r="M53" s="12">
        <v>28311</v>
      </c>
      <c r="N53" s="12"/>
      <c r="O53" s="12">
        <v>10257</v>
      </c>
      <c r="P53" s="12"/>
      <c r="Q53" s="12">
        <v>15835</v>
      </c>
      <c r="R53" s="12"/>
      <c r="S53" s="12">
        <v>47978</v>
      </c>
      <c r="T53" s="12"/>
      <c r="U53" s="12">
        <v>27612</v>
      </c>
      <c r="V53" s="12"/>
      <c r="W53" s="12">
        <v>79101</v>
      </c>
      <c r="X53" s="12"/>
      <c r="Y53" s="12">
        <v>0</v>
      </c>
      <c r="Z53" s="12"/>
      <c r="AA53" s="12">
        <v>0</v>
      </c>
      <c r="AC53" s="12">
        <f t="shared" si="0"/>
        <v>672971</v>
      </c>
    </row>
    <row r="54" spans="1:29" s="11" customFormat="1" ht="12">
      <c r="A54" s="11" t="s">
        <v>165</v>
      </c>
      <c r="C54" s="11" t="s">
        <v>143</v>
      </c>
      <c r="E54" s="12">
        <v>129155.56</v>
      </c>
      <c r="F54" s="12"/>
      <c r="G54" s="12">
        <v>36112.75</v>
      </c>
      <c r="H54" s="12"/>
      <c r="I54" s="12">
        <v>51106.24</v>
      </c>
      <c r="J54" s="12"/>
      <c r="K54" s="12">
        <v>31493.6</v>
      </c>
      <c r="L54" s="12"/>
      <c r="M54" s="12">
        <v>5721.99</v>
      </c>
      <c r="N54" s="12"/>
      <c r="O54" s="12">
        <v>1821.82</v>
      </c>
      <c r="P54" s="12"/>
      <c r="Q54" s="12">
        <v>1570.45</v>
      </c>
      <c r="R54" s="12"/>
      <c r="S54" s="12">
        <v>0</v>
      </c>
      <c r="T54" s="12"/>
      <c r="U54" s="12">
        <v>0</v>
      </c>
      <c r="V54" s="12"/>
      <c r="W54" s="12">
        <v>0</v>
      </c>
      <c r="X54" s="12"/>
      <c r="Y54" s="12">
        <v>0</v>
      </c>
      <c r="Z54" s="12"/>
      <c r="AA54" s="12">
        <v>0</v>
      </c>
      <c r="AC54" s="12">
        <f t="shared" si="0"/>
        <v>256982.41</v>
      </c>
    </row>
    <row r="55" spans="1:29" s="11" customFormat="1" ht="12">
      <c r="A55" s="11" t="s">
        <v>220</v>
      </c>
      <c r="C55" s="11" t="s">
        <v>144</v>
      </c>
      <c r="E55" s="12">
        <v>392112</v>
      </c>
      <c r="F55" s="12"/>
      <c r="G55" s="12">
        <f>170453+4234</f>
        <v>174687</v>
      </c>
      <c r="H55" s="12"/>
      <c r="I55" s="12">
        <v>79472</v>
      </c>
      <c r="J55" s="12"/>
      <c r="K55" s="12">
        <v>175502</v>
      </c>
      <c r="L55" s="12"/>
      <c r="M55" s="12">
        <v>17553</v>
      </c>
      <c r="N55" s="12"/>
      <c r="O55" s="12">
        <f>20762+110926</f>
        <v>131688</v>
      </c>
      <c r="P55" s="12"/>
      <c r="Q55" s="12">
        <v>0</v>
      </c>
      <c r="R55" s="12"/>
      <c r="S55" s="12">
        <v>0</v>
      </c>
      <c r="T55" s="12"/>
      <c r="U55" s="12">
        <v>0</v>
      </c>
      <c r="V55" s="12"/>
      <c r="W55" s="12">
        <v>0</v>
      </c>
      <c r="X55" s="12"/>
      <c r="Y55" s="12">
        <v>0</v>
      </c>
      <c r="Z55" s="12"/>
      <c r="AA55" s="12">
        <v>0</v>
      </c>
      <c r="AC55" s="12">
        <f t="shared" si="0"/>
        <v>971014</v>
      </c>
    </row>
    <row r="56" spans="1:29" s="11" customFormat="1" ht="12">
      <c r="A56" s="11" t="s">
        <v>221</v>
      </c>
      <c r="C56" s="11" t="s">
        <v>188</v>
      </c>
      <c r="E56" s="12">
        <v>24217072</v>
      </c>
      <c r="F56" s="12"/>
      <c r="G56" s="12">
        <v>6317031</v>
      </c>
      <c r="H56" s="12"/>
      <c r="I56" s="12">
        <v>8386307</v>
      </c>
      <c r="J56" s="12"/>
      <c r="K56" s="12">
        <v>7026207</v>
      </c>
      <c r="L56" s="12"/>
      <c r="M56" s="12">
        <v>1243325</v>
      </c>
      <c r="N56" s="12"/>
      <c r="O56" s="12">
        <v>697325</v>
      </c>
      <c r="P56" s="12"/>
      <c r="Q56" s="12">
        <v>2207015</v>
      </c>
      <c r="R56" s="12"/>
      <c r="S56" s="12">
        <v>0</v>
      </c>
      <c r="T56" s="12"/>
      <c r="U56" s="12">
        <v>0</v>
      </c>
      <c r="V56" s="12"/>
      <c r="W56" s="12">
        <v>2495240</v>
      </c>
      <c r="X56" s="12"/>
      <c r="Y56" s="12">
        <v>0</v>
      </c>
      <c r="Z56" s="12"/>
      <c r="AA56" s="12">
        <v>0</v>
      </c>
      <c r="AC56" s="12">
        <f t="shared" si="0"/>
        <v>52589522</v>
      </c>
    </row>
    <row r="57" spans="1:54" s="38" customFormat="1" ht="12">
      <c r="A57" s="11" t="s">
        <v>529</v>
      </c>
      <c r="B57" s="11"/>
      <c r="C57" s="12" t="s">
        <v>163</v>
      </c>
      <c r="D57" s="12"/>
      <c r="E57" s="12">
        <v>356264.33</v>
      </c>
      <c r="F57" s="12"/>
      <c r="G57" s="12">
        <v>99798</v>
      </c>
      <c r="H57" s="12"/>
      <c r="I57" s="12">
        <v>104264.4</v>
      </c>
      <c r="J57" s="12"/>
      <c r="K57" s="12">
        <v>90143.7</v>
      </c>
      <c r="L57" s="12"/>
      <c r="M57" s="12">
        <v>15078.89</v>
      </c>
      <c r="N57" s="12"/>
      <c r="O57" s="12">
        <v>2125.87</v>
      </c>
      <c r="P57" s="12"/>
      <c r="Q57" s="12">
        <v>21066.92</v>
      </c>
      <c r="R57" s="12"/>
      <c r="S57" s="12">
        <v>0</v>
      </c>
      <c r="T57" s="12"/>
      <c r="U57" s="12">
        <v>0</v>
      </c>
      <c r="V57" s="12"/>
      <c r="W57" s="12">
        <v>0</v>
      </c>
      <c r="X57" s="12"/>
      <c r="Y57" s="12">
        <v>0</v>
      </c>
      <c r="Z57" s="12"/>
      <c r="AA57" s="12">
        <v>0</v>
      </c>
      <c r="AB57" s="37"/>
      <c r="AC57" s="12">
        <f t="shared" si="0"/>
        <v>688742.11</v>
      </c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</row>
    <row r="58" spans="1:29" s="11" customFormat="1" ht="12">
      <c r="A58" s="11" t="s">
        <v>222</v>
      </c>
      <c r="C58" s="11" t="s">
        <v>136</v>
      </c>
      <c r="E58" s="12">
        <v>325091</v>
      </c>
      <c r="F58" s="12"/>
      <c r="G58" s="12">
        <v>86637</v>
      </c>
      <c r="H58" s="12"/>
      <c r="I58" s="12">
        <v>49581</v>
      </c>
      <c r="J58" s="12"/>
      <c r="K58" s="12">
        <v>82962</v>
      </c>
      <c r="L58" s="12"/>
      <c r="M58" s="12">
        <v>24540</v>
      </c>
      <c r="N58" s="12"/>
      <c r="O58" s="12">
        <v>13042</v>
      </c>
      <c r="P58" s="12"/>
      <c r="Q58" s="12">
        <v>11037</v>
      </c>
      <c r="R58" s="12"/>
      <c r="S58" s="12">
        <v>0</v>
      </c>
      <c r="T58" s="12"/>
      <c r="U58" s="12">
        <v>0</v>
      </c>
      <c r="V58" s="12"/>
      <c r="W58" s="12">
        <v>0</v>
      </c>
      <c r="X58" s="12"/>
      <c r="Y58" s="12">
        <v>0</v>
      </c>
      <c r="Z58" s="12"/>
      <c r="AA58" s="12">
        <v>0</v>
      </c>
      <c r="AC58" s="12">
        <f t="shared" si="0"/>
        <v>592890</v>
      </c>
    </row>
    <row r="59" spans="1:29" s="11" customFormat="1" ht="12">
      <c r="A59" s="11" t="s">
        <v>223</v>
      </c>
      <c r="C59" s="11" t="s">
        <v>224</v>
      </c>
      <c r="E59" s="12">
        <v>803313</v>
      </c>
      <c r="F59" s="12"/>
      <c r="G59" s="12">
        <v>203865</v>
      </c>
      <c r="H59" s="12"/>
      <c r="I59" s="12">
        <v>194204</v>
      </c>
      <c r="J59" s="12"/>
      <c r="K59" s="12">
        <v>179643</v>
      </c>
      <c r="L59" s="12"/>
      <c r="M59" s="12">
        <v>29272</v>
      </c>
      <c r="N59" s="12"/>
      <c r="O59" s="12">
        <v>7083</v>
      </c>
      <c r="P59" s="12"/>
      <c r="Q59" s="12">
        <v>79943</v>
      </c>
      <c r="R59" s="12"/>
      <c r="S59" s="12">
        <v>0</v>
      </c>
      <c r="T59" s="12"/>
      <c r="U59" s="12">
        <v>0</v>
      </c>
      <c r="V59" s="12"/>
      <c r="W59" s="12">
        <v>119850</v>
      </c>
      <c r="X59" s="12"/>
      <c r="Y59" s="12">
        <v>0</v>
      </c>
      <c r="Z59" s="12"/>
      <c r="AA59" s="12">
        <v>0</v>
      </c>
      <c r="AC59" s="12">
        <f t="shared" si="0"/>
        <v>1617173</v>
      </c>
    </row>
    <row r="60" spans="1:29" s="11" customFormat="1" ht="12">
      <c r="A60" s="11" t="s">
        <v>225</v>
      </c>
      <c r="C60" s="11" t="s">
        <v>145</v>
      </c>
      <c r="E60" s="12">
        <v>222431.02</v>
      </c>
      <c r="F60" s="12"/>
      <c r="G60" s="12">
        <v>36260.69</v>
      </c>
      <c r="H60" s="12"/>
      <c r="I60" s="12">
        <v>84491.65</v>
      </c>
      <c r="J60" s="12"/>
      <c r="K60" s="12">
        <v>98407.08</v>
      </c>
      <c r="L60" s="12"/>
      <c r="M60" s="12">
        <v>18845.83</v>
      </c>
      <c r="N60" s="12"/>
      <c r="O60" s="12">
        <v>1418.24</v>
      </c>
      <c r="P60" s="12"/>
      <c r="Q60" s="12">
        <v>2617.2</v>
      </c>
      <c r="R60" s="12"/>
      <c r="S60" s="12">
        <v>0</v>
      </c>
      <c r="T60" s="12"/>
      <c r="U60" s="12">
        <v>0</v>
      </c>
      <c r="V60" s="12"/>
      <c r="W60" s="12">
        <v>0</v>
      </c>
      <c r="X60" s="12"/>
      <c r="Y60" s="12">
        <v>0</v>
      </c>
      <c r="Z60" s="12"/>
      <c r="AA60" s="12">
        <v>0</v>
      </c>
      <c r="AC60" s="12">
        <f t="shared" si="0"/>
        <v>464471.71</v>
      </c>
    </row>
    <row r="61" spans="1:29" s="11" customFormat="1" ht="12">
      <c r="A61" s="11" t="s">
        <v>226</v>
      </c>
      <c r="C61" s="11" t="s">
        <v>110</v>
      </c>
      <c r="E61" s="12">
        <v>29007114</v>
      </c>
      <c r="F61" s="12"/>
      <c r="G61" s="12">
        <v>8340743</v>
      </c>
      <c r="H61" s="12"/>
      <c r="I61" s="12">
        <v>8283448</v>
      </c>
      <c r="J61" s="12"/>
      <c r="K61" s="12">
        <v>8920192</v>
      </c>
      <c r="L61" s="12"/>
      <c r="M61" s="12">
        <v>1687188</v>
      </c>
      <c r="N61" s="12"/>
      <c r="O61" s="12">
        <v>1192176</v>
      </c>
      <c r="P61" s="12"/>
      <c r="Q61" s="12">
        <v>2715848</v>
      </c>
      <c r="R61" s="12"/>
      <c r="S61" s="12">
        <v>0</v>
      </c>
      <c r="T61" s="12"/>
      <c r="U61" s="12">
        <v>0</v>
      </c>
      <c r="V61" s="12"/>
      <c r="W61" s="12">
        <v>4500000</v>
      </c>
      <c r="X61" s="12"/>
      <c r="Y61" s="12">
        <v>30000</v>
      </c>
      <c r="Z61" s="12"/>
      <c r="AA61" s="12">
        <v>0</v>
      </c>
      <c r="AC61" s="12">
        <f t="shared" si="0"/>
        <v>64676709</v>
      </c>
    </row>
    <row r="62" spans="1:29" s="11" customFormat="1" ht="12">
      <c r="A62" s="11" t="s">
        <v>227</v>
      </c>
      <c r="C62" s="11" t="s">
        <v>148</v>
      </c>
      <c r="E62" s="12">
        <v>0</v>
      </c>
      <c r="F62" s="12"/>
      <c r="G62" s="12">
        <f>15694848+5807335</f>
        <v>21502183</v>
      </c>
      <c r="H62" s="12"/>
      <c r="I62" s="12">
        <f>404416+827847+2511539</f>
        <v>3743802</v>
      </c>
      <c r="J62" s="12"/>
      <c r="K62" s="12">
        <v>0</v>
      </c>
      <c r="L62" s="12"/>
      <c r="M62" s="12">
        <v>0</v>
      </c>
      <c r="N62" s="12"/>
      <c r="O62" s="12">
        <v>0</v>
      </c>
      <c r="P62" s="12"/>
      <c r="Q62" s="12">
        <v>2205380</v>
      </c>
      <c r="R62" s="12"/>
      <c r="S62" s="12">
        <v>0</v>
      </c>
      <c r="T62" s="12"/>
      <c r="U62" s="12">
        <v>0</v>
      </c>
      <c r="V62" s="12"/>
      <c r="W62" s="12">
        <v>3500000</v>
      </c>
      <c r="X62" s="12"/>
      <c r="Y62" s="12">
        <v>0</v>
      </c>
      <c r="Z62" s="12"/>
      <c r="AA62" s="12">
        <v>0</v>
      </c>
      <c r="AC62" s="12">
        <f t="shared" si="0"/>
        <v>30951365</v>
      </c>
    </row>
    <row r="63" spans="1:29" s="11" customFormat="1" ht="12">
      <c r="A63" s="11" t="s">
        <v>228</v>
      </c>
      <c r="C63" s="11" t="s">
        <v>229</v>
      </c>
      <c r="E63" s="12">
        <v>721342</v>
      </c>
      <c r="F63" s="12"/>
      <c r="G63" s="12">
        <v>169857</v>
      </c>
      <c r="H63" s="12"/>
      <c r="I63" s="12">
        <v>272468</v>
      </c>
      <c r="J63" s="12"/>
      <c r="K63" s="12">
        <v>240037</v>
      </c>
      <c r="L63" s="12"/>
      <c r="M63" s="12">
        <v>31800</v>
      </c>
      <c r="N63" s="12"/>
      <c r="O63" s="12">
        <v>8145</v>
      </c>
      <c r="P63" s="12"/>
      <c r="Q63" s="12">
        <v>58406</v>
      </c>
      <c r="R63" s="12"/>
      <c r="S63" s="12">
        <v>0</v>
      </c>
      <c r="T63" s="12"/>
      <c r="U63" s="12">
        <v>0</v>
      </c>
      <c r="V63" s="12"/>
      <c r="W63" s="12">
        <v>0</v>
      </c>
      <c r="X63" s="12"/>
      <c r="Y63" s="12">
        <v>0</v>
      </c>
      <c r="Z63" s="12"/>
      <c r="AA63" s="12">
        <v>0</v>
      </c>
      <c r="AC63" s="12">
        <f t="shared" si="0"/>
        <v>1502055</v>
      </c>
    </row>
    <row r="64" spans="1:29" s="11" customFormat="1" ht="12">
      <c r="A64" s="11" t="s">
        <v>230</v>
      </c>
      <c r="C64" s="11" t="s">
        <v>163</v>
      </c>
      <c r="E64" s="12">
        <v>1499984</v>
      </c>
      <c r="F64" s="12"/>
      <c r="G64" s="12">
        <v>0</v>
      </c>
      <c r="H64" s="12"/>
      <c r="I64" s="12">
        <v>271097</v>
      </c>
      <c r="J64" s="12"/>
      <c r="K64" s="12">
        <v>345282</v>
      </c>
      <c r="L64" s="12"/>
      <c r="M64" s="12">
        <v>111089</v>
      </c>
      <c r="N64" s="12"/>
      <c r="O64" s="12">
        <v>17405</v>
      </c>
      <c r="P64" s="12"/>
      <c r="Q64" s="12">
        <v>44509</v>
      </c>
      <c r="R64" s="12"/>
      <c r="S64" s="12">
        <v>305238</v>
      </c>
      <c r="T64" s="12"/>
      <c r="U64" s="12">
        <v>15238</v>
      </c>
      <c r="V64" s="12"/>
      <c r="W64" s="12">
        <v>0</v>
      </c>
      <c r="X64" s="12"/>
      <c r="Y64" s="12">
        <v>0</v>
      </c>
      <c r="Z64" s="12"/>
      <c r="AA64" s="12">
        <v>0</v>
      </c>
      <c r="AC64" s="12">
        <f t="shared" si="0"/>
        <v>2609842</v>
      </c>
    </row>
    <row r="65" spans="1:29" s="11" customFormat="1" ht="12">
      <c r="A65" s="11" t="s">
        <v>231</v>
      </c>
      <c r="C65" s="11" t="s">
        <v>194</v>
      </c>
      <c r="E65" s="12">
        <v>249729.26</v>
      </c>
      <c r="F65" s="12"/>
      <c r="G65" s="12">
        <v>36580.66</v>
      </c>
      <c r="H65" s="12"/>
      <c r="I65" s="12">
        <v>45253.97</v>
      </c>
      <c r="J65" s="12"/>
      <c r="K65" s="12">
        <v>109525.01</v>
      </c>
      <c r="L65" s="12"/>
      <c r="M65" s="12">
        <v>25405.36</v>
      </c>
      <c r="N65" s="12"/>
      <c r="O65" s="12">
        <v>7817</v>
      </c>
      <c r="P65" s="12"/>
      <c r="Q65" s="12">
        <v>123713.78</v>
      </c>
      <c r="R65" s="12"/>
      <c r="S65" s="12">
        <v>0</v>
      </c>
      <c r="T65" s="12"/>
      <c r="U65" s="12">
        <v>0</v>
      </c>
      <c r="V65" s="12"/>
      <c r="W65" s="12">
        <v>0</v>
      </c>
      <c r="X65" s="12"/>
      <c r="Y65" s="12">
        <v>0</v>
      </c>
      <c r="Z65" s="12"/>
      <c r="AA65" s="12">
        <v>0</v>
      </c>
      <c r="AC65" s="12">
        <f t="shared" si="0"/>
        <v>598025.04</v>
      </c>
    </row>
    <row r="66" spans="1:29" s="11" customFormat="1" ht="12">
      <c r="A66" s="11" t="s">
        <v>232</v>
      </c>
      <c r="C66" s="11" t="s">
        <v>135</v>
      </c>
      <c r="E66" s="12">
        <v>224655.59</v>
      </c>
      <c r="F66" s="12"/>
      <c r="G66" s="12">
        <v>41976.55</v>
      </c>
      <c r="H66" s="12"/>
      <c r="I66" s="12">
        <v>54689.08</v>
      </c>
      <c r="J66" s="12"/>
      <c r="K66" s="12">
        <v>74601.04</v>
      </c>
      <c r="L66" s="12"/>
      <c r="M66" s="12">
        <v>16057.88</v>
      </c>
      <c r="N66" s="12"/>
      <c r="O66" s="12">
        <v>8340.4</v>
      </c>
      <c r="P66" s="12"/>
      <c r="Q66" s="12">
        <v>47835.8</v>
      </c>
      <c r="R66" s="12"/>
      <c r="S66" s="12">
        <v>0</v>
      </c>
      <c r="T66" s="12"/>
      <c r="U66" s="12">
        <v>0</v>
      </c>
      <c r="V66" s="12"/>
      <c r="W66" s="12">
        <v>0</v>
      </c>
      <c r="X66" s="12"/>
      <c r="Y66" s="12">
        <v>0</v>
      </c>
      <c r="Z66" s="12"/>
      <c r="AA66" s="12">
        <v>0</v>
      </c>
      <c r="AC66" s="12">
        <f t="shared" si="0"/>
        <v>468156.34</v>
      </c>
    </row>
    <row r="67" spans="1:29" s="11" customFormat="1" ht="12">
      <c r="A67" s="11" t="s">
        <v>233</v>
      </c>
      <c r="C67" s="11" t="s">
        <v>156</v>
      </c>
      <c r="E67" s="12">
        <v>192849</v>
      </c>
      <c r="F67" s="12"/>
      <c r="G67" s="12">
        <v>62035</v>
      </c>
      <c r="H67" s="12"/>
      <c r="I67" s="12">
        <v>42140</v>
      </c>
      <c r="J67" s="12"/>
      <c r="K67" s="12">
        <v>42234</v>
      </c>
      <c r="L67" s="12"/>
      <c r="M67" s="12">
        <v>9743</v>
      </c>
      <c r="N67" s="12"/>
      <c r="O67" s="12">
        <v>12306</v>
      </c>
      <c r="P67" s="12"/>
      <c r="Q67" s="12">
        <v>5755</v>
      </c>
      <c r="R67" s="12"/>
      <c r="S67" s="12">
        <v>0</v>
      </c>
      <c r="T67" s="12"/>
      <c r="U67" s="12">
        <v>0</v>
      </c>
      <c r="V67" s="12"/>
      <c r="W67" s="12">
        <v>0</v>
      </c>
      <c r="X67" s="12"/>
      <c r="Y67" s="12">
        <v>0</v>
      </c>
      <c r="Z67" s="12"/>
      <c r="AA67" s="12">
        <v>0</v>
      </c>
      <c r="AC67" s="12">
        <f t="shared" si="0"/>
        <v>367062</v>
      </c>
    </row>
    <row r="68" spans="1:29" s="11" customFormat="1" ht="12">
      <c r="A68" s="11" t="s">
        <v>234</v>
      </c>
      <c r="C68" s="11" t="s">
        <v>117</v>
      </c>
      <c r="E68" s="12">
        <v>327157</v>
      </c>
      <c r="F68" s="12"/>
      <c r="G68" s="12">
        <v>120360</v>
      </c>
      <c r="H68" s="12"/>
      <c r="I68" s="12">
        <v>96686</v>
      </c>
      <c r="J68" s="12"/>
      <c r="K68" s="12">
        <v>156189</v>
      </c>
      <c r="L68" s="12"/>
      <c r="M68" s="12">
        <v>14340</v>
      </c>
      <c r="N68" s="12"/>
      <c r="O68" s="12">
        <v>3034</v>
      </c>
      <c r="P68" s="12"/>
      <c r="Q68" s="12">
        <v>78120</v>
      </c>
      <c r="R68" s="12"/>
      <c r="S68" s="12">
        <v>0</v>
      </c>
      <c r="T68" s="12"/>
      <c r="U68" s="12">
        <v>0</v>
      </c>
      <c r="V68" s="12"/>
      <c r="W68" s="12">
        <v>0</v>
      </c>
      <c r="X68" s="12"/>
      <c r="Y68" s="12">
        <v>0</v>
      </c>
      <c r="Z68" s="12"/>
      <c r="AA68" s="12">
        <v>0</v>
      </c>
      <c r="AC68" s="12">
        <f t="shared" si="0"/>
        <v>795886</v>
      </c>
    </row>
    <row r="69" spans="1:29" s="11" customFormat="1" ht="12">
      <c r="A69" s="11" t="s">
        <v>492</v>
      </c>
      <c r="C69" s="11" t="s">
        <v>236</v>
      </c>
      <c r="E69" s="12">
        <v>667941.08</v>
      </c>
      <c r="F69" s="12"/>
      <c r="G69" s="12">
        <v>221142.68</v>
      </c>
      <c r="H69" s="12"/>
      <c r="I69" s="12">
        <v>132301.07</v>
      </c>
      <c r="J69" s="12"/>
      <c r="K69" s="12">
        <v>203296.33</v>
      </c>
      <c r="L69" s="12"/>
      <c r="M69" s="12">
        <v>49367.1</v>
      </c>
      <c r="N69" s="12"/>
      <c r="O69" s="12">
        <v>9034.69</v>
      </c>
      <c r="P69" s="12"/>
      <c r="Q69" s="12">
        <v>27314.82</v>
      </c>
      <c r="R69" s="12"/>
      <c r="S69" s="12">
        <v>0</v>
      </c>
      <c r="T69" s="12"/>
      <c r="U69" s="12">
        <v>0</v>
      </c>
      <c r="V69" s="12"/>
      <c r="W69" s="12">
        <v>0</v>
      </c>
      <c r="X69" s="12"/>
      <c r="Y69" s="12">
        <v>0</v>
      </c>
      <c r="Z69" s="12"/>
      <c r="AA69" s="12">
        <v>0</v>
      </c>
      <c r="AC69" s="12">
        <f t="shared" si="0"/>
        <v>1310397.7700000003</v>
      </c>
    </row>
    <row r="70" spans="1:29" s="11" customFormat="1" ht="12">
      <c r="A70" s="11" t="s">
        <v>237</v>
      </c>
      <c r="C70" s="11" t="s">
        <v>183</v>
      </c>
      <c r="E70" s="12">
        <v>27117</v>
      </c>
      <c r="F70" s="12"/>
      <c r="G70" s="12">
        <v>3984</v>
      </c>
      <c r="H70" s="12"/>
      <c r="I70" s="12">
        <v>5510</v>
      </c>
      <c r="J70" s="12"/>
      <c r="K70" s="12">
        <v>11101</v>
      </c>
      <c r="L70" s="12"/>
      <c r="M70" s="12">
        <v>1665</v>
      </c>
      <c r="N70" s="12"/>
      <c r="O70" s="12">
        <v>23418</v>
      </c>
      <c r="P70" s="12"/>
      <c r="Q70" s="12">
        <v>0</v>
      </c>
      <c r="R70" s="12"/>
      <c r="S70" s="12">
        <v>0</v>
      </c>
      <c r="T70" s="12"/>
      <c r="U70" s="12">
        <v>0</v>
      </c>
      <c r="V70" s="12"/>
      <c r="W70" s="12">
        <v>0</v>
      </c>
      <c r="X70" s="12"/>
      <c r="Y70" s="12">
        <v>0</v>
      </c>
      <c r="Z70" s="12"/>
      <c r="AA70" s="12">
        <v>0</v>
      </c>
      <c r="AC70" s="12">
        <f t="shared" si="0"/>
        <v>72795</v>
      </c>
    </row>
    <row r="71" spans="5:29" s="11" customFormat="1" ht="12"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C71" s="27" t="s">
        <v>98</v>
      </c>
    </row>
    <row r="72" spans="1:31" s="11" customFormat="1" ht="12">
      <c r="A72" s="11" t="s">
        <v>238</v>
      </c>
      <c r="C72" s="11" t="s">
        <v>144</v>
      </c>
      <c r="E72" s="26">
        <v>236169.69</v>
      </c>
      <c r="F72" s="26"/>
      <c r="G72" s="26">
        <v>73535.08</v>
      </c>
      <c r="H72" s="26"/>
      <c r="I72" s="26">
        <v>38886.64</v>
      </c>
      <c r="J72" s="26"/>
      <c r="K72" s="26">
        <v>83419.1</v>
      </c>
      <c r="L72" s="26"/>
      <c r="M72" s="26">
        <v>19155.03</v>
      </c>
      <c r="N72" s="26"/>
      <c r="O72" s="26">
        <v>424.62</v>
      </c>
      <c r="P72" s="26"/>
      <c r="Q72" s="26">
        <v>9358.72</v>
      </c>
      <c r="R72" s="26"/>
      <c r="S72" s="26">
        <v>0</v>
      </c>
      <c r="T72" s="26"/>
      <c r="U72" s="26">
        <v>0</v>
      </c>
      <c r="V72" s="26"/>
      <c r="W72" s="26">
        <v>15446.74</v>
      </c>
      <c r="X72" s="26"/>
      <c r="Y72" s="26">
        <v>0</v>
      </c>
      <c r="Z72" s="26"/>
      <c r="AA72" s="26">
        <v>0</v>
      </c>
      <c r="AB72" s="26"/>
      <c r="AC72" s="26">
        <f aca="true" t="shared" si="1" ref="AC72:AC133">SUM(E72:AA72)</f>
        <v>476395.62</v>
      </c>
      <c r="AD72" s="26"/>
      <c r="AE72" s="26"/>
    </row>
    <row r="73" spans="1:29" s="11" customFormat="1" ht="12">
      <c r="A73" s="11" t="s">
        <v>599</v>
      </c>
      <c r="C73" s="11" t="s">
        <v>111</v>
      </c>
      <c r="E73" s="12">
        <v>0</v>
      </c>
      <c r="F73" s="12"/>
      <c r="G73" s="12">
        <v>0</v>
      </c>
      <c r="H73" s="12"/>
      <c r="I73" s="12">
        <f>795551+487772</f>
        <v>1283323</v>
      </c>
      <c r="J73" s="12"/>
      <c r="K73" s="12">
        <f>192595+182226+593012+76483</f>
        <v>1044316</v>
      </c>
      <c r="L73" s="12"/>
      <c r="M73" s="12">
        <v>0</v>
      </c>
      <c r="N73" s="12"/>
      <c r="O73" s="12">
        <v>0</v>
      </c>
      <c r="P73" s="12"/>
      <c r="Q73" s="12">
        <v>0</v>
      </c>
      <c r="R73" s="12"/>
      <c r="S73" s="12">
        <v>0</v>
      </c>
      <c r="T73" s="12"/>
      <c r="U73" s="12">
        <v>0</v>
      </c>
      <c r="V73" s="12"/>
      <c r="W73" s="12">
        <v>0</v>
      </c>
      <c r="X73" s="12"/>
      <c r="Y73" s="12">
        <v>0</v>
      </c>
      <c r="Z73" s="12"/>
      <c r="AA73" s="12">
        <v>0</v>
      </c>
      <c r="AC73" s="12">
        <f>SUM(E73:AA73)</f>
        <v>2327639</v>
      </c>
    </row>
    <row r="74" spans="1:29" s="11" customFormat="1" ht="12">
      <c r="A74" s="11" t="s">
        <v>239</v>
      </c>
      <c r="C74" s="11" t="s">
        <v>150</v>
      </c>
      <c r="E74" s="12">
        <v>1729621</v>
      </c>
      <c r="F74" s="12"/>
      <c r="G74" s="12">
        <v>469913</v>
      </c>
      <c r="H74" s="12"/>
      <c r="I74" s="12">
        <v>527331</v>
      </c>
      <c r="J74" s="12"/>
      <c r="K74" s="12">
        <v>444637</v>
      </c>
      <c r="L74" s="12"/>
      <c r="M74" s="12">
        <v>66944</v>
      </c>
      <c r="N74" s="12"/>
      <c r="O74" s="12">
        <v>14607</v>
      </c>
      <c r="P74" s="12"/>
      <c r="Q74" s="12">
        <v>70532</v>
      </c>
      <c r="R74" s="12"/>
      <c r="S74" s="12">
        <v>0</v>
      </c>
      <c r="T74" s="12"/>
      <c r="U74" s="12">
        <v>0</v>
      </c>
      <c r="V74" s="12"/>
      <c r="W74" s="12">
        <v>279000</v>
      </c>
      <c r="X74" s="12"/>
      <c r="Y74" s="12">
        <v>0</v>
      </c>
      <c r="Z74" s="12"/>
      <c r="AA74" s="12">
        <v>0</v>
      </c>
      <c r="AC74" s="12">
        <f t="shared" si="1"/>
        <v>3602585</v>
      </c>
    </row>
    <row r="75" spans="1:29" s="11" customFormat="1" ht="12">
      <c r="A75" s="11" t="s">
        <v>109</v>
      </c>
      <c r="C75" s="11" t="s">
        <v>110</v>
      </c>
      <c r="E75" s="12">
        <v>0</v>
      </c>
      <c r="F75" s="12"/>
      <c r="G75" s="12">
        <v>0</v>
      </c>
      <c r="H75" s="12"/>
      <c r="I75" s="12">
        <f>1910271+1313600</f>
        <v>3223871</v>
      </c>
      <c r="J75" s="12"/>
      <c r="K75" s="12">
        <f>427774+171912+742456</f>
        <v>1342142</v>
      </c>
      <c r="L75" s="12"/>
      <c r="M75" s="12">
        <v>0</v>
      </c>
      <c r="N75" s="12"/>
      <c r="O75" s="12">
        <v>56378</v>
      </c>
      <c r="P75" s="12"/>
      <c r="Q75" s="12">
        <v>124826</v>
      </c>
      <c r="R75" s="12"/>
      <c r="S75" s="12">
        <v>0</v>
      </c>
      <c r="T75" s="12"/>
      <c r="U75" s="12">
        <v>0</v>
      </c>
      <c r="V75" s="12"/>
      <c r="W75" s="12">
        <v>0</v>
      </c>
      <c r="X75" s="12"/>
      <c r="Y75" s="12">
        <v>0</v>
      </c>
      <c r="Z75" s="12"/>
      <c r="AA75" s="12">
        <v>0</v>
      </c>
      <c r="AC75" s="12">
        <f t="shared" si="1"/>
        <v>4747217</v>
      </c>
    </row>
    <row r="76" spans="1:29" s="11" customFormat="1" ht="12">
      <c r="A76" s="11" t="s">
        <v>240</v>
      </c>
      <c r="C76" s="11" t="s">
        <v>135</v>
      </c>
      <c r="E76" s="12">
        <v>134774.01</v>
      </c>
      <c r="F76" s="12"/>
      <c r="G76" s="12">
        <v>33141.05</v>
      </c>
      <c r="H76" s="12"/>
      <c r="I76" s="12">
        <v>117514.57</v>
      </c>
      <c r="J76" s="12"/>
      <c r="K76" s="12">
        <v>27919.04</v>
      </c>
      <c r="L76" s="12"/>
      <c r="M76" s="12">
        <v>25593.58</v>
      </c>
      <c r="N76" s="12"/>
      <c r="O76" s="12">
        <v>4962</v>
      </c>
      <c r="P76" s="12"/>
      <c r="Q76" s="12">
        <v>197498.3</v>
      </c>
      <c r="R76" s="12"/>
      <c r="S76" s="12">
        <v>0</v>
      </c>
      <c r="T76" s="12"/>
      <c r="U76" s="12">
        <v>0</v>
      </c>
      <c r="V76" s="12"/>
      <c r="W76" s="12">
        <v>0</v>
      </c>
      <c r="X76" s="12"/>
      <c r="Y76" s="12">
        <v>0</v>
      </c>
      <c r="Z76" s="12"/>
      <c r="AA76" s="12">
        <v>0</v>
      </c>
      <c r="AC76" s="12">
        <f t="shared" si="1"/>
        <v>541402.55</v>
      </c>
    </row>
    <row r="77" spans="1:29" s="11" customFormat="1" ht="12">
      <c r="A77" s="11" t="s">
        <v>241</v>
      </c>
      <c r="C77" s="11" t="s">
        <v>160</v>
      </c>
      <c r="E77" s="12">
        <v>1635955</v>
      </c>
      <c r="F77" s="12"/>
      <c r="G77" s="12">
        <v>454969</v>
      </c>
      <c r="H77" s="12"/>
      <c r="I77" s="12">
        <v>625282</v>
      </c>
      <c r="J77" s="12"/>
      <c r="K77" s="12">
        <v>658488</v>
      </c>
      <c r="L77" s="12"/>
      <c r="M77" s="12">
        <v>111369</v>
      </c>
      <c r="N77" s="12"/>
      <c r="O77" s="12">
        <v>13501</v>
      </c>
      <c r="P77" s="12"/>
      <c r="Q77" s="12">
        <v>390531</v>
      </c>
      <c r="R77" s="12"/>
      <c r="S77" s="12">
        <v>410944</v>
      </c>
      <c r="T77" s="12"/>
      <c r="U77" s="12">
        <v>18429</v>
      </c>
      <c r="V77" s="12"/>
      <c r="W77" s="12">
        <v>530657</v>
      </c>
      <c r="X77" s="12"/>
      <c r="Y77" s="12">
        <v>0</v>
      </c>
      <c r="Z77" s="12"/>
      <c r="AA77" s="12">
        <v>0</v>
      </c>
      <c r="AC77" s="12">
        <f t="shared" si="1"/>
        <v>4850125</v>
      </c>
    </row>
    <row r="78" spans="1:29" s="11" customFormat="1" ht="12">
      <c r="A78" s="11" t="s">
        <v>242</v>
      </c>
      <c r="C78" s="11" t="s">
        <v>106</v>
      </c>
      <c r="E78" s="12">
        <v>202831</v>
      </c>
      <c r="F78" s="12"/>
      <c r="G78" s="12">
        <v>57642</v>
      </c>
      <c r="H78" s="12"/>
      <c r="I78" s="12">
        <v>55221</v>
      </c>
      <c r="J78" s="12"/>
      <c r="K78" s="12">
        <v>66481</v>
      </c>
      <c r="L78" s="12"/>
      <c r="M78" s="12">
        <v>6732</v>
      </c>
      <c r="N78" s="12"/>
      <c r="O78" s="12">
        <v>1179</v>
      </c>
      <c r="P78" s="12"/>
      <c r="Q78" s="12">
        <v>6918</v>
      </c>
      <c r="R78" s="12"/>
      <c r="S78" s="12">
        <v>0</v>
      </c>
      <c r="T78" s="12"/>
      <c r="U78" s="12">
        <v>0</v>
      </c>
      <c r="V78" s="12"/>
      <c r="W78" s="12">
        <v>20000</v>
      </c>
      <c r="X78" s="12"/>
      <c r="Y78" s="12">
        <v>0</v>
      </c>
      <c r="Z78" s="12"/>
      <c r="AA78" s="12">
        <v>0</v>
      </c>
      <c r="AC78" s="12">
        <f t="shared" si="1"/>
        <v>417004</v>
      </c>
    </row>
    <row r="79" spans="1:29" s="11" customFormat="1" ht="12">
      <c r="A79" s="11" t="s">
        <v>243</v>
      </c>
      <c r="C79" s="11" t="s">
        <v>244</v>
      </c>
      <c r="E79" s="12">
        <v>0</v>
      </c>
      <c r="F79" s="12"/>
      <c r="G79" s="12">
        <v>0</v>
      </c>
      <c r="H79" s="12"/>
      <c r="I79" s="12">
        <f>705705+716111</f>
        <v>1421816</v>
      </c>
      <c r="J79" s="12"/>
      <c r="K79" s="12">
        <f>210861+74115+741039+76682</f>
        <v>1102697</v>
      </c>
      <c r="L79" s="12"/>
      <c r="M79" s="12">
        <v>0</v>
      </c>
      <c r="N79" s="12"/>
      <c r="O79" s="12">
        <v>0</v>
      </c>
      <c r="P79" s="12"/>
      <c r="Q79" s="12">
        <v>0</v>
      </c>
      <c r="R79" s="12"/>
      <c r="S79" s="12">
        <v>175000</v>
      </c>
      <c r="T79" s="12"/>
      <c r="U79" s="12">
        <v>47242</v>
      </c>
      <c r="V79" s="12"/>
      <c r="W79" s="12">
        <v>200000</v>
      </c>
      <c r="X79" s="12"/>
      <c r="Y79" s="12">
        <v>0</v>
      </c>
      <c r="Z79" s="12"/>
      <c r="AA79" s="12">
        <v>0</v>
      </c>
      <c r="AC79" s="12">
        <f t="shared" si="1"/>
        <v>2946755</v>
      </c>
    </row>
    <row r="80" spans="1:29" s="11" customFormat="1" ht="12">
      <c r="A80" s="11" t="s">
        <v>245</v>
      </c>
      <c r="C80" s="11" t="s">
        <v>146</v>
      </c>
      <c r="E80" s="12">
        <v>436872.58</v>
      </c>
      <c r="F80" s="12"/>
      <c r="G80" s="12">
        <v>163814.8</v>
      </c>
      <c r="H80" s="12"/>
      <c r="I80" s="12">
        <v>158409.74</v>
      </c>
      <c r="J80" s="12"/>
      <c r="K80" s="12">
        <v>126535.04</v>
      </c>
      <c r="L80" s="12"/>
      <c r="M80" s="12">
        <v>19012.6</v>
      </c>
      <c r="N80" s="12"/>
      <c r="O80" s="12">
        <v>155.5</v>
      </c>
      <c r="P80" s="12"/>
      <c r="Q80" s="12">
        <v>7084.17</v>
      </c>
      <c r="R80" s="12"/>
      <c r="S80" s="12">
        <v>0</v>
      </c>
      <c r="T80" s="12"/>
      <c r="U80" s="12">
        <v>0</v>
      </c>
      <c r="V80" s="12"/>
      <c r="W80" s="12">
        <v>0</v>
      </c>
      <c r="X80" s="12"/>
      <c r="Y80" s="12">
        <v>0</v>
      </c>
      <c r="Z80" s="12"/>
      <c r="AA80" s="12">
        <v>0</v>
      </c>
      <c r="AC80" s="12">
        <f t="shared" si="1"/>
        <v>911884.43</v>
      </c>
    </row>
    <row r="81" spans="1:29" s="11" customFormat="1" ht="12">
      <c r="A81" s="11" t="s">
        <v>246</v>
      </c>
      <c r="C81" s="11" t="s">
        <v>154</v>
      </c>
      <c r="E81" s="12">
        <v>43961.15</v>
      </c>
      <c r="F81" s="12"/>
      <c r="G81" s="12">
        <v>10842.83</v>
      </c>
      <c r="H81" s="12"/>
      <c r="I81" s="12">
        <v>23665.11</v>
      </c>
      <c r="J81" s="12"/>
      <c r="K81" s="12">
        <v>19732.52</v>
      </c>
      <c r="L81" s="12"/>
      <c r="M81" s="12">
        <v>3888.55</v>
      </c>
      <c r="N81" s="12"/>
      <c r="O81" s="12">
        <v>1745.19</v>
      </c>
      <c r="P81" s="12"/>
      <c r="Q81" s="12">
        <v>5665.29</v>
      </c>
      <c r="R81" s="12"/>
      <c r="S81" s="12">
        <v>0</v>
      </c>
      <c r="T81" s="12"/>
      <c r="U81" s="12">
        <v>0</v>
      </c>
      <c r="V81" s="12"/>
      <c r="W81" s="12">
        <v>0</v>
      </c>
      <c r="X81" s="12"/>
      <c r="Y81" s="12">
        <v>0</v>
      </c>
      <c r="Z81" s="12"/>
      <c r="AA81" s="12">
        <v>0</v>
      </c>
      <c r="AC81" s="12">
        <f t="shared" si="1"/>
        <v>109500.64</v>
      </c>
    </row>
    <row r="82" spans="1:29" s="11" customFormat="1" ht="12">
      <c r="A82" s="11" t="s">
        <v>247</v>
      </c>
      <c r="C82" s="11" t="s">
        <v>143</v>
      </c>
      <c r="E82" s="12">
        <v>55161</v>
      </c>
      <c r="F82" s="12"/>
      <c r="G82" s="12">
        <v>8153</v>
      </c>
      <c r="H82" s="12"/>
      <c r="I82" s="12">
        <v>17185</v>
      </c>
      <c r="J82" s="12"/>
      <c r="K82" s="12">
        <v>31010</v>
      </c>
      <c r="L82" s="12"/>
      <c r="M82" s="12">
        <v>11513</v>
      </c>
      <c r="N82" s="12"/>
      <c r="O82" s="12">
        <v>956</v>
      </c>
      <c r="P82" s="12"/>
      <c r="Q82" s="12">
        <v>3515</v>
      </c>
      <c r="R82" s="12"/>
      <c r="S82" s="12">
        <v>0</v>
      </c>
      <c r="T82" s="12"/>
      <c r="U82" s="12">
        <v>0</v>
      </c>
      <c r="V82" s="12"/>
      <c r="W82" s="12">
        <v>0</v>
      </c>
      <c r="X82" s="12"/>
      <c r="Y82" s="12">
        <v>0</v>
      </c>
      <c r="Z82" s="12"/>
      <c r="AA82" s="12">
        <v>0</v>
      </c>
      <c r="AC82" s="12">
        <f t="shared" si="1"/>
        <v>127493</v>
      </c>
    </row>
    <row r="83" spans="1:29" s="11" customFormat="1" ht="12">
      <c r="A83" s="11" t="s">
        <v>248</v>
      </c>
      <c r="C83" s="11" t="s">
        <v>147</v>
      </c>
      <c r="E83" s="12">
        <v>778543.59</v>
      </c>
      <c r="F83" s="12"/>
      <c r="G83" s="12">
        <v>242107.69</v>
      </c>
      <c r="H83" s="12"/>
      <c r="I83" s="12">
        <v>129503.24</v>
      </c>
      <c r="J83" s="12"/>
      <c r="K83" s="12">
        <v>273844.17</v>
      </c>
      <c r="L83" s="12"/>
      <c r="M83" s="12">
        <v>41286.27</v>
      </c>
      <c r="N83" s="12"/>
      <c r="O83" s="12">
        <v>10225</v>
      </c>
      <c r="P83" s="12"/>
      <c r="Q83" s="12">
        <v>102925.29</v>
      </c>
      <c r="R83" s="12"/>
      <c r="S83" s="12">
        <v>0</v>
      </c>
      <c r="T83" s="12"/>
      <c r="U83" s="12">
        <v>0</v>
      </c>
      <c r="V83" s="12"/>
      <c r="W83" s="12">
        <v>150000</v>
      </c>
      <c r="X83" s="12"/>
      <c r="Y83" s="12">
        <v>0</v>
      </c>
      <c r="Z83" s="12"/>
      <c r="AA83" s="12">
        <v>1430.12</v>
      </c>
      <c r="AC83" s="12">
        <f t="shared" si="1"/>
        <v>1729865.37</v>
      </c>
    </row>
    <row r="84" spans="1:29" s="11" customFormat="1" ht="12">
      <c r="A84" s="11" t="s">
        <v>249</v>
      </c>
      <c r="C84" s="11" t="s">
        <v>145</v>
      </c>
      <c r="E84" s="12">
        <v>293691.53</v>
      </c>
      <c r="F84" s="12"/>
      <c r="G84" s="12">
        <v>71180.97</v>
      </c>
      <c r="H84" s="12"/>
      <c r="I84" s="12">
        <v>161238.05</v>
      </c>
      <c r="J84" s="12"/>
      <c r="K84" s="12">
        <v>111192.78</v>
      </c>
      <c r="L84" s="12"/>
      <c r="M84" s="12">
        <v>11770.42</v>
      </c>
      <c r="N84" s="12"/>
      <c r="O84" s="12">
        <v>3227.68</v>
      </c>
      <c r="P84" s="12"/>
      <c r="Q84" s="12">
        <v>113013.11</v>
      </c>
      <c r="R84" s="12"/>
      <c r="S84" s="12">
        <v>0</v>
      </c>
      <c r="T84" s="12"/>
      <c r="U84" s="12">
        <v>0</v>
      </c>
      <c r="V84" s="12"/>
      <c r="W84" s="12">
        <v>0</v>
      </c>
      <c r="X84" s="12"/>
      <c r="Y84" s="12">
        <v>0</v>
      </c>
      <c r="Z84" s="12"/>
      <c r="AA84" s="12">
        <v>0</v>
      </c>
      <c r="AC84" s="12">
        <f t="shared" si="1"/>
        <v>765314.5400000002</v>
      </c>
    </row>
    <row r="85" spans="1:29" s="11" customFormat="1" ht="12">
      <c r="A85" s="11" t="s">
        <v>250</v>
      </c>
      <c r="C85" s="11" t="s">
        <v>251</v>
      </c>
      <c r="E85" s="12">
        <v>493195</v>
      </c>
      <c r="F85" s="12"/>
      <c r="G85" s="12">
        <v>152925</v>
      </c>
      <c r="H85" s="12"/>
      <c r="I85" s="12">
        <v>124280</v>
      </c>
      <c r="J85" s="12"/>
      <c r="K85" s="12">
        <v>149693</v>
      </c>
      <c r="L85" s="12"/>
      <c r="M85" s="12">
        <v>26795</v>
      </c>
      <c r="N85" s="12"/>
      <c r="O85" s="12">
        <v>4358</v>
      </c>
      <c r="P85" s="12"/>
      <c r="Q85" s="12">
        <v>92150</v>
      </c>
      <c r="R85" s="12"/>
      <c r="S85" s="12">
        <v>0</v>
      </c>
      <c r="T85" s="12"/>
      <c r="U85" s="12">
        <v>0</v>
      </c>
      <c r="V85" s="12"/>
      <c r="W85" s="12">
        <v>0</v>
      </c>
      <c r="X85" s="12"/>
      <c r="Y85" s="12">
        <v>0</v>
      </c>
      <c r="Z85" s="12"/>
      <c r="AA85" s="12">
        <v>0</v>
      </c>
      <c r="AC85" s="12">
        <f t="shared" si="1"/>
        <v>1043396</v>
      </c>
    </row>
    <row r="86" spans="1:29" s="11" customFormat="1" ht="12">
      <c r="A86" s="11" t="s">
        <v>252</v>
      </c>
      <c r="C86" s="11" t="s">
        <v>108</v>
      </c>
      <c r="E86" s="12">
        <v>0</v>
      </c>
      <c r="F86" s="12"/>
      <c r="G86" s="12">
        <v>0</v>
      </c>
      <c r="H86" s="12"/>
      <c r="I86" s="12">
        <f>934834+1299166+27092+2327345+159224</f>
        <v>4747661</v>
      </c>
      <c r="J86" s="12"/>
      <c r="K86" s="12">
        <v>1074823</v>
      </c>
      <c r="L86" s="12"/>
      <c r="M86" s="12">
        <v>0</v>
      </c>
      <c r="N86" s="12"/>
      <c r="O86" s="12">
        <v>219760</v>
      </c>
      <c r="P86" s="12"/>
      <c r="Q86" s="12">
        <v>159224</v>
      </c>
      <c r="R86" s="12"/>
      <c r="S86" s="12">
        <v>0</v>
      </c>
      <c r="T86" s="12"/>
      <c r="U86" s="12">
        <v>0</v>
      </c>
      <c r="V86" s="12"/>
      <c r="W86" s="12">
        <v>0</v>
      </c>
      <c r="X86" s="12"/>
      <c r="Y86" s="12">
        <v>0</v>
      </c>
      <c r="Z86" s="12"/>
      <c r="AA86" s="12">
        <v>224412</v>
      </c>
      <c r="AC86" s="12">
        <f t="shared" si="1"/>
        <v>6425880</v>
      </c>
    </row>
    <row r="87" spans="1:29" s="11" customFormat="1" ht="12">
      <c r="A87" s="11" t="s">
        <v>253</v>
      </c>
      <c r="C87" s="11" t="s">
        <v>148</v>
      </c>
      <c r="E87" s="12">
        <v>438356.05</v>
      </c>
      <c r="F87" s="12"/>
      <c r="G87" s="12">
        <v>117738.6</v>
      </c>
      <c r="H87" s="12"/>
      <c r="I87" s="12">
        <v>77799.07</v>
      </c>
      <c r="J87" s="12"/>
      <c r="K87" s="12">
        <v>90413.51</v>
      </c>
      <c r="L87" s="12"/>
      <c r="M87" s="12">
        <v>15754.16</v>
      </c>
      <c r="N87" s="12"/>
      <c r="O87" s="12">
        <v>5717.8</v>
      </c>
      <c r="P87" s="12"/>
      <c r="Q87" s="12">
        <v>13817.11</v>
      </c>
      <c r="R87" s="12"/>
      <c r="S87" s="12">
        <v>0</v>
      </c>
      <c r="T87" s="12"/>
      <c r="U87" s="12">
        <v>0</v>
      </c>
      <c r="V87" s="12"/>
      <c r="W87" s="12">
        <v>100000</v>
      </c>
      <c r="X87" s="12"/>
      <c r="Y87" s="12">
        <v>0</v>
      </c>
      <c r="Z87" s="12"/>
      <c r="AA87" s="12">
        <v>0</v>
      </c>
      <c r="AC87" s="12">
        <f t="shared" si="1"/>
        <v>859596.3</v>
      </c>
    </row>
    <row r="88" spans="1:29" s="11" customFormat="1" ht="12">
      <c r="A88" s="11" t="s">
        <v>127</v>
      </c>
      <c r="C88" s="11" t="s">
        <v>149</v>
      </c>
      <c r="E88" s="12">
        <v>405961.89</v>
      </c>
      <c r="F88" s="12"/>
      <c r="G88" s="12">
        <v>145323.18</v>
      </c>
      <c r="H88" s="12"/>
      <c r="I88" s="12">
        <v>87790.51</v>
      </c>
      <c r="J88" s="12"/>
      <c r="K88" s="12">
        <v>104149.44</v>
      </c>
      <c r="L88" s="12"/>
      <c r="M88" s="12">
        <v>17410.67</v>
      </c>
      <c r="N88" s="12"/>
      <c r="O88" s="12">
        <v>4310.73</v>
      </c>
      <c r="P88" s="12"/>
      <c r="Q88" s="12">
        <v>4545.37</v>
      </c>
      <c r="R88" s="12"/>
      <c r="S88" s="12">
        <v>0</v>
      </c>
      <c r="T88" s="12"/>
      <c r="U88" s="12">
        <v>0</v>
      </c>
      <c r="V88" s="12"/>
      <c r="W88" s="12">
        <v>0</v>
      </c>
      <c r="X88" s="12"/>
      <c r="Y88" s="12">
        <v>0</v>
      </c>
      <c r="Z88" s="12"/>
      <c r="AA88" s="12">
        <v>0</v>
      </c>
      <c r="AC88" s="12">
        <f t="shared" si="1"/>
        <v>769491.79</v>
      </c>
    </row>
    <row r="89" spans="1:29" s="11" customFormat="1" ht="12">
      <c r="A89" s="11" t="s">
        <v>128</v>
      </c>
      <c r="C89" s="11" t="s">
        <v>117</v>
      </c>
      <c r="E89" s="12">
        <v>81994.21</v>
      </c>
      <c r="F89" s="12"/>
      <c r="G89" s="12">
        <v>12613.95</v>
      </c>
      <c r="H89" s="12"/>
      <c r="I89" s="12">
        <v>16947.51</v>
      </c>
      <c r="J89" s="12"/>
      <c r="K89" s="12">
        <v>31441.39</v>
      </c>
      <c r="L89" s="12"/>
      <c r="M89" s="12">
        <v>6916.33</v>
      </c>
      <c r="N89" s="12"/>
      <c r="O89" s="12">
        <v>1220</v>
      </c>
      <c r="P89" s="12"/>
      <c r="Q89" s="12">
        <v>2985</v>
      </c>
      <c r="R89" s="12"/>
      <c r="S89" s="12">
        <v>0</v>
      </c>
      <c r="T89" s="12"/>
      <c r="U89" s="12">
        <v>0</v>
      </c>
      <c r="V89" s="12"/>
      <c r="W89" s="12">
        <v>0</v>
      </c>
      <c r="X89" s="12"/>
      <c r="Y89" s="12">
        <v>0</v>
      </c>
      <c r="Z89" s="12"/>
      <c r="AA89" s="12">
        <v>0</v>
      </c>
      <c r="AC89" s="12">
        <f t="shared" si="1"/>
        <v>154118.38999999998</v>
      </c>
    </row>
    <row r="90" spans="1:29" s="11" customFormat="1" ht="12">
      <c r="A90" s="11" t="s">
        <v>254</v>
      </c>
      <c r="C90" s="11" t="s">
        <v>150</v>
      </c>
      <c r="E90" s="12">
        <v>281564.82</v>
      </c>
      <c r="F90" s="12"/>
      <c r="G90" s="12">
        <v>80320.55</v>
      </c>
      <c r="H90" s="12"/>
      <c r="I90" s="12">
        <v>88795.54</v>
      </c>
      <c r="J90" s="12"/>
      <c r="K90" s="12">
        <v>100638.26</v>
      </c>
      <c r="L90" s="12"/>
      <c r="M90" s="12">
        <v>10876.22</v>
      </c>
      <c r="N90" s="12"/>
      <c r="O90" s="12">
        <v>1780.7</v>
      </c>
      <c r="P90" s="12"/>
      <c r="Q90" s="12">
        <v>41372.74</v>
      </c>
      <c r="R90" s="12"/>
      <c r="S90" s="12">
        <v>0</v>
      </c>
      <c r="T90" s="12"/>
      <c r="U90" s="12">
        <v>0</v>
      </c>
      <c r="V90" s="12"/>
      <c r="W90" s="12">
        <v>0</v>
      </c>
      <c r="X90" s="12"/>
      <c r="Y90" s="12">
        <v>0</v>
      </c>
      <c r="Z90" s="12"/>
      <c r="AA90" s="12">
        <v>0</v>
      </c>
      <c r="AC90" s="12">
        <f t="shared" si="1"/>
        <v>605348.8299999998</v>
      </c>
    </row>
    <row r="91" spans="1:29" s="11" customFormat="1" ht="12">
      <c r="A91" s="11" t="s">
        <v>457</v>
      </c>
      <c r="C91" s="11" t="s">
        <v>136</v>
      </c>
      <c r="E91" s="12">
        <v>94052.58</v>
      </c>
      <c r="F91" s="12"/>
      <c r="G91" s="12">
        <v>14398.72</v>
      </c>
      <c r="H91" s="12"/>
      <c r="I91" s="12">
        <v>34933.67</v>
      </c>
      <c r="J91" s="12"/>
      <c r="K91" s="12">
        <v>36898.81</v>
      </c>
      <c r="L91" s="12"/>
      <c r="M91" s="12">
        <v>6316.98</v>
      </c>
      <c r="N91" s="12"/>
      <c r="O91" s="12">
        <v>4074.85</v>
      </c>
      <c r="P91" s="12"/>
      <c r="Q91" s="12">
        <v>268.53</v>
      </c>
      <c r="R91" s="12"/>
      <c r="S91" s="12">
        <v>0</v>
      </c>
      <c r="T91" s="12"/>
      <c r="U91" s="12">
        <v>0</v>
      </c>
      <c r="V91" s="12"/>
      <c r="W91" s="12">
        <v>0</v>
      </c>
      <c r="X91" s="12"/>
      <c r="Y91" s="12">
        <v>0</v>
      </c>
      <c r="Z91" s="12"/>
      <c r="AA91" s="12">
        <v>0</v>
      </c>
      <c r="AC91" s="12">
        <f t="shared" si="1"/>
        <v>190944.14</v>
      </c>
    </row>
    <row r="92" spans="1:29" s="11" customFormat="1" ht="12">
      <c r="A92" s="11" t="s">
        <v>256</v>
      </c>
      <c r="C92" s="11" t="s">
        <v>188</v>
      </c>
      <c r="E92" s="12">
        <v>1253718</v>
      </c>
      <c r="F92" s="12"/>
      <c r="G92" s="12">
        <v>432669</v>
      </c>
      <c r="H92" s="12"/>
      <c r="I92" s="12">
        <f>418923+25843+1747</f>
        <v>446513</v>
      </c>
      <c r="J92" s="12"/>
      <c r="K92" s="12">
        <v>371676</v>
      </c>
      <c r="L92" s="12"/>
      <c r="M92" s="12">
        <v>51574</v>
      </c>
      <c r="N92" s="12"/>
      <c r="O92" s="12">
        <f>11893+181</f>
        <v>12074</v>
      </c>
      <c r="P92" s="12"/>
      <c r="Q92" s="12">
        <f>30279+3430</f>
        <v>33709</v>
      </c>
      <c r="R92" s="12"/>
      <c r="S92" s="12">
        <v>195000</v>
      </c>
      <c r="T92" s="12"/>
      <c r="U92" s="12">
        <v>20385</v>
      </c>
      <c r="V92" s="12"/>
      <c r="W92" s="12">
        <v>0</v>
      </c>
      <c r="X92" s="12"/>
      <c r="Y92" s="12">
        <v>0</v>
      </c>
      <c r="Z92" s="12"/>
      <c r="AA92" s="12">
        <v>0</v>
      </c>
      <c r="AC92" s="12">
        <f t="shared" si="1"/>
        <v>2817318</v>
      </c>
    </row>
    <row r="93" spans="1:29" s="11" customFormat="1" ht="12">
      <c r="A93" s="11" t="s">
        <v>257</v>
      </c>
      <c r="C93" s="11" t="s">
        <v>134</v>
      </c>
      <c r="E93" s="12">
        <v>420967</v>
      </c>
      <c r="F93" s="12"/>
      <c r="G93" s="12">
        <v>120143</v>
      </c>
      <c r="H93" s="12"/>
      <c r="I93" s="12">
        <f>97829+2121870</f>
        <v>2219699</v>
      </c>
      <c r="J93" s="12"/>
      <c r="K93" s="12">
        <v>92648</v>
      </c>
      <c r="L93" s="12"/>
      <c r="M93" s="12">
        <v>8239</v>
      </c>
      <c r="N93" s="12"/>
      <c r="O93" s="12">
        <v>2943</v>
      </c>
      <c r="P93" s="12"/>
      <c r="Q93" s="12">
        <v>721</v>
      </c>
      <c r="R93" s="12"/>
      <c r="S93" s="12">
        <v>0</v>
      </c>
      <c r="T93" s="12"/>
      <c r="U93" s="12">
        <v>0</v>
      </c>
      <c r="V93" s="12"/>
      <c r="W93" s="12">
        <v>100000</v>
      </c>
      <c r="X93" s="12"/>
      <c r="Y93" s="12">
        <v>0</v>
      </c>
      <c r="Z93" s="12"/>
      <c r="AA93" s="12">
        <v>0</v>
      </c>
      <c r="AC93" s="12">
        <f t="shared" si="1"/>
        <v>2965360</v>
      </c>
    </row>
    <row r="94" spans="1:29" s="11" customFormat="1" ht="12">
      <c r="A94" s="11" t="s">
        <v>258</v>
      </c>
      <c r="C94" s="11" t="s">
        <v>259</v>
      </c>
      <c r="E94" s="12">
        <v>0</v>
      </c>
      <c r="F94" s="12"/>
      <c r="G94" s="12">
        <v>0</v>
      </c>
      <c r="H94" s="12"/>
      <c r="I94" s="12">
        <f>2890893+369554</f>
        <v>3260447</v>
      </c>
      <c r="J94" s="12"/>
      <c r="K94" s="12">
        <f>1278113+564095+271538+1189024</f>
        <v>3302770</v>
      </c>
      <c r="L94" s="12"/>
      <c r="M94" s="12">
        <v>0</v>
      </c>
      <c r="N94" s="12"/>
      <c r="O94" s="12">
        <v>0</v>
      </c>
      <c r="P94" s="12"/>
      <c r="Q94" s="12">
        <v>314346</v>
      </c>
      <c r="R94" s="12"/>
      <c r="S94" s="12">
        <v>0</v>
      </c>
      <c r="T94" s="12"/>
      <c r="U94" s="12">
        <v>0</v>
      </c>
      <c r="V94" s="12"/>
      <c r="W94" s="12">
        <v>2505076</v>
      </c>
      <c r="X94" s="12"/>
      <c r="Y94" s="12">
        <v>0</v>
      </c>
      <c r="Z94" s="12"/>
      <c r="AA94" s="12">
        <v>0</v>
      </c>
      <c r="AC94" s="12">
        <f t="shared" si="1"/>
        <v>9382639</v>
      </c>
    </row>
    <row r="95" spans="1:29" s="11" customFormat="1" ht="12">
      <c r="A95" s="11" t="s">
        <v>260</v>
      </c>
      <c r="C95" s="11" t="s">
        <v>174</v>
      </c>
      <c r="E95" s="12">
        <v>531000</v>
      </c>
      <c r="F95" s="12"/>
      <c r="G95" s="12">
        <v>67177.39</v>
      </c>
      <c r="H95" s="12"/>
      <c r="I95" s="12">
        <v>118126.23</v>
      </c>
      <c r="J95" s="12"/>
      <c r="K95" s="12">
        <v>206400.29</v>
      </c>
      <c r="L95" s="12"/>
      <c r="M95" s="12">
        <v>69568</v>
      </c>
      <c r="N95" s="12"/>
      <c r="O95" s="12">
        <v>9000</v>
      </c>
      <c r="P95" s="12"/>
      <c r="Q95" s="12">
        <v>106995.7</v>
      </c>
      <c r="R95" s="12"/>
      <c r="S95" s="12">
        <v>0</v>
      </c>
      <c r="T95" s="12"/>
      <c r="U95" s="12">
        <v>0</v>
      </c>
      <c r="V95" s="12"/>
      <c r="W95" s="12">
        <v>0</v>
      </c>
      <c r="X95" s="12"/>
      <c r="Y95" s="12">
        <v>0</v>
      </c>
      <c r="Z95" s="12"/>
      <c r="AA95" s="12">
        <v>5000</v>
      </c>
      <c r="AC95" s="12">
        <f t="shared" si="1"/>
        <v>1113267.61</v>
      </c>
    </row>
    <row r="96" spans="1:29" s="11" customFormat="1" ht="12">
      <c r="A96" s="11" t="s">
        <v>261</v>
      </c>
      <c r="C96" s="11" t="s">
        <v>262</v>
      </c>
      <c r="E96" s="12">
        <v>722720</v>
      </c>
      <c r="F96" s="12"/>
      <c r="G96" s="12">
        <v>229003</v>
      </c>
      <c r="H96" s="12"/>
      <c r="I96" s="12">
        <v>226563</v>
      </c>
      <c r="J96" s="12"/>
      <c r="K96" s="12">
        <v>297768</v>
      </c>
      <c r="L96" s="12"/>
      <c r="M96" s="12">
        <v>59804</v>
      </c>
      <c r="N96" s="12"/>
      <c r="O96" s="12">
        <v>10110</v>
      </c>
      <c r="P96" s="12"/>
      <c r="Q96" s="12">
        <v>2299120</v>
      </c>
      <c r="R96" s="12"/>
      <c r="S96" s="12">
        <v>0</v>
      </c>
      <c r="T96" s="12"/>
      <c r="U96" s="12">
        <v>0</v>
      </c>
      <c r="V96" s="12"/>
      <c r="W96" s="12">
        <v>0</v>
      </c>
      <c r="X96" s="12"/>
      <c r="Y96" s="12">
        <v>0</v>
      </c>
      <c r="Z96" s="12"/>
      <c r="AA96" s="12">
        <v>0</v>
      </c>
      <c r="AC96" s="12">
        <f t="shared" si="1"/>
        <v>3845088</v>
      </c>
    </row>
    <row r="97" spans="1:29" s="11" customFormat="1" ht="12">
      <c r="A97" s="11" t="s">
        <v>263</v>
      </c>
      <c r="C97" s="11" t="s">
        <v>136</v>
      </c>
      <c r="E97" s="12">
        <v>221940.69</v>
      </c>
      <c r="F97" s="12"/>
      <c r="G97" s="12">
        <v>55229.89</v>
      </c>
      <c r="H97" s="12"/>
      <c r="I97" s="12">
        <v>98309.17</v>
      </c>
      <c r="J97" s="12"/>
      <c r="K97" s="12">
        <v>49624.78</v>
      </c>
      <c r="L97" s="12"/>
      <c r="M97" s="12">
        <v>15274.23</v>
      </c>
      <c r="N97" s="12"/>
      <c r="O97" s="12">
        <v>3511.57</v>
      </c>
      <c r="P97" s="12"/>
      <c r="Q97" s="12">
        <v>17803.94</v>
      </c>
      <c r="R97" s="12"/>
      <c r="S97" s="12">
        <v>57547.79</v>
      </c>
      <c r="T97" s="12"/>
      <c r="U97" s="12">
        <v>55012.21</v>
      </c>
      <c r="V97" s="12"/>
      <c r="W97" s="12">
        <v>112560</v>
      </c>
      <c r="X97" s="12"/>
      <c r="Y97" s="12">
        <v>0</v>
      </c>
      <c r="Z97" s="12"/>
      <c r="AA97" s="12">
        <v>0</v>
      </c>
      <c r="AC97" s="12">
        <f t="shared" si="1"/>
        <v>686814.27</v>
      </c>
    </row>
    <row r="98" spans="1:29" s="11" customFormat="1" ht="12">
      <c r="A98" s="11" t="s">
        <v>264</v>
      </c>
      <c r="C98" s="11" t="s">
        <v>154</v>
      </c>
      <c r="E98" s="12">
        <v>33233</v>
      </c>
      <c r="G98" s="12">
        <v>5670</v>
      </c>
      <c r="I98" s="12">
        <v>15453</v>
      </c>
      <c r="K98" s="12">
        <v>16673</v>
      </c>
      <c r="M98" s="12">
        <v>2262</v>
      </c>
      <c r="O98" s="12">
        <v>1319</v>
      </c>
      <c r="Q98" s="12">
        <v>10483</v>
      </c>
      <c r="S98" s="12">
        <v>0</v>
      </c>
      <c r="U98" s="12">
        <v>0</v>
      </c>
      <c r="W98" s="12">
        <v>0</v>
      </c>
      <c r="Y98" s="12">
        <v>0</v>
      </c>
      <c r="AA98" s="12">
        <v>0</v>
      </c>
      <c r="AC98" s="12">
        <f t="shared" si="1"/>
        <v>85093</v>
      </c>
    </row>
    <row r="99" spans="1:29" s="11" customFormat="1" ht="12">
      <c r="A99" s="11" t="s">
        <v>265</v>
      </c>
      <c r="C99" s="11" t="s">
        <v>266</v>
      </c>
      <c r="E99" s="12">
        <v>277690</v>
      </c>
      <c r="F99" s="12"/>
      <c r="G99" s="12">
        <v>58116</v>
      </c>
      <c r="H99" s="12"/>
      <c r="I99" s="12">
        <v>81006</v>
      </c>
      <c r="J99" s="12"/>
      <c r="K99" s="12">
        <v>61922</v>
      </c>
      <c r="L99" s="12"/>
      <c r="M99" s="12">
        <v>16025</v>
      </c>
      <c r="N99" s="12"/>
      <c r="O99" s="12">
        <v>18097</v>
      </c>
      <c r="P99" s="12"/>
      <c r="Q99" s="12">
        <v>6730</v>
      </c>
      <c r="R99" s="12"/>
      <c r="S99" s="12">
        <v>0</v>
      </c>
      <c r="T99" s="12" t="s">
        <v>55</v>
      </c>
      <c r="U99" s="12">
        <v>0</v>
      </c>
      <c r="V99" s="12"/>
      <c r="W99" s="12">
        <v>30000</v>
      </c>
      <c r="X99" s="12"/>
      <c r="Y99" s="12">
        <v>0</v>
      </c>
      <c r="Z99" s="12"/>
      <c r="AA99" s="12">
        <v>0</v>
      </c>
      <c r="AC99" s="12">
        <f t="shared" si="1"/>
        <v>549586</v>
      </c>
    </row>
    <row r="100" spans="1:29" s="11" customFormat="1" ht="12">
      <c r="A100" s="11" t="s">
        <v>458</v>
      </c>
      <c r="C100" s="11" t="s">
        <v>136</v>
      </c>
      <c r="E100" s="12">
        <v>196311.84</v>
      </c>
      <c r="F100" s="12"/>
      <c r="G100" s="12">
        <v>51190.2</v>
      </c>
      <c r="H100" s="12"/>
      <c r="I100" s="12">
        <v>74622.06</v>
      </c>
      <c r="J100" s="12"/>
      <c r="K100" s="12">
        <v>82936.6</v>
      </c>
      <c r="L100" s="12"/>
      <c r="M100" s="12">
        <v>9001.27</v>
      </c>
      <c r="N100" s="12"/>
      <c r="O100" s="12">
        <v>1929.88</v>
      </c>
      <c r="P100" s="12"/>
      <c r="Q100" s="12">
        <v>7207.18</v>
      </c>
      <c r="R100" s="12"/>
      <c r="S100" s="12">
        <v>0</v>
      </c>
      <c r="T100" s="12"/>
      <c r="U100" s="12">
        <v>0</v>
      </c>
      <c r="V100" s="12"/>
      <c r="W100" s="12">
        <v>0</v>
      </c>
      <c r="X100" s="12"/>
      <c r="Y100" s="12">
        <v>8500</v>
      </c>
      <c r="Z100" s="12"/>
      <c r="AA100" s="12">
        <v>1530.78</v>
      </c>
      <c r="AC100" s="12">
        <f t="shared" si="1"/>
        <v>433229.81</v>
      </c>
    </row>
    <row r="101" spans="1:29" s="11" customFormat="1" ht="12">
      <c r="A101" s="11" t="s">
        <v>268</v>
      </c>
      <c r="C101" s="11" t="s">
        <v>269</v>
      </c>
      <c r="E101" s="12">
        <v>215602</v>
      </c>
      <c r="F101" s="12"/>
      <c r="G101" s="12">
        <v>60885</v>
      </c>
      <c r="H101" s="12"/>
      <c r="I101" s="12">
        <v>59019</v>
      </c>
      <c r="J101" s="12"/>
      <c r="K101" s="12">
        <v>48491</v>
      </c>
      <c r="L101" s="12"/>
      <c r="M101" s="12">
        <v>26569</v>
      </c>
      <c r="N101" s="12"/>
      <c r="O101" s="12">
        <v>1781</v>
      </c>
      <c r="P101" s="12"/>
      <c r="Q101" s="12">
        <v>18849</v>
      </c>
      <c r="R101" s="12"/>
      <c r="S101" s="12">
        <v>0</v>
      </c>
      <c r="T101" s="12"/>
      <c r="U101" s="12">
        <v>0</v>
      </c>
      <c r="V101" s="12"/>
      <c r="W101" s="12">
        <v>0</v>
      </c>
      <c r="X101" s="12"/>
      <c r="Y101" s="12">
        <v>0</v>
      </c>
      <c r="Z101" s="12"/>
      <c r="AA101" s="12">
        <v>0</v>
      </c>
      <c r="AC101" s="12">
        <f t="shared" si="1"/>
        <v>431196</v>
      </c>
    </row>
    <row r="102" spans="1:29" s="11" customFormat="1" ht="12">
      <c r="A102" s="11" t="s">
        <v>129</v>
      </c>
      <c r="C102" s="11" t="s">
        <v>150</v>
      </c>
      <c r="E102" s="12">
        <v>223348.15</v>
      </c>
      <c r="F102" s="12"/>
      <c r="G102" s="12">
        <v>61811.36</v>
      </c>
      <c r="H102" s="12"/>
      <c r="I102" s="12">
        <v>61978.7</v>
      </c>
      <c r="J102" s="12"/>
      <c r="K102" s="12">
        <v>51245.2</v>
      </c>
      <c r="L102" s="12"/>
      <c r="M102" s="12">
        <v>7618.64</v>
      </c>
      <c r="N102" s="12"/>
      <c r="O102" s="12">
        <v>2709.65</v>
      </c>
      <c r="P102" s="12"/>
      <c r="Q102" s="12">
        <v>10321.94</v>
      </c>
      <c r="R102" s="12"/>
      <c r="S102" s="12">
        <v>0</v>
      </c>
      <c r="T102" s="12"/>
      <c r="U102" s="12">
        <v>0</v>
      </c>
      <c r="V102" s="12"/>
      <c r="W102" s="12">
        <v>20000</v>
      </c>
      <c r="X102" s="12"/>
      <c r="Y102" s="12">
        <v>0</v>
      </c>
      <c r="Z102" s="12"/>
      <c r="AA102" s="12">
        <v>0</v>
      </c>
      <c r="AC102" s="12">
        <f t="shared" si="1"/>
        <v>439033.6400000001</v>
      </c>
    </row>
    <row r="103" spans="1:29" s="11" customFormat="1" ht="12">
      <c r="A103" s="11" t="s">
        <v>509</v>
      </c>
      <c r="C103" s="11" t="s">
        <v>151</v>
      </c>
      <c r="E103" s="12">
        <v>683388.29</v>
      </c>
      <c r="F103" s="12"/>
      <c r="G103" s="12">
        <v>167922.25</v>
      </c>
      <c r="H103" s="12"/>
      <c r="I103" s="12">
        <v>215688.95</v>
      </c>
      <c r="J103" s="12"/>
      <c r="K103" s="12">
        <v>228050.97</v>
      </c>
      <c r="L103" s="12"/>
      <c r="M103" s="12">
        <v>24764.38</v>
      </c>
      <c r="N103" s="12"/>
      <c r="O103" s="12">
        <v>10042.39</v>
      </c>
      <c r="P103" s="12"/>
      <c r="Q103" s="12">
        <v>50474.53</v>
      </c>
      <c r="R103" s="12"/>
      <c r="S103" s="12">
        <v>0</v>
      </c>
      <c r="T103" s="12"/>
      <c r="U103" s="12">
        <v>0</v>
      </c>
      <c r="V103" s="12"/>
      <c r="W103" s="12">
        <v>255.84</v>
      </c>
      <c r="X103" s="12"/>
      <c r="Y103" s="12">
        <v>0</v>
      </c>
      <c r="Z103" s="12"/>
      <c r="AA103" s="12">
        <v>0</v>
      </c>
      <c r="AC103" s="12">
        <f t="shared" si="1"/>
        <v>1380587.5999999999</v>
      </c>
    </row>
    <row r="104" spans="1:29" s="11" customFormat="1" ht="12">
      <c r="A104" s="11" t="s">
        <v>271</v>
      </c>
      <c r="C104" s="11" t="s">
        <v>153</v>
      </c>
      <c r="E104" s="12">
        <v>56687</v>
      </c>
      <c r="F104" s="12"/>
      <c r="G104" s="12">
        <v>7822</v>
      </c>
      <c r="H104" s="12"/>
      <c r="I104" s="12">
        <v>0</v>
      </c>
      <c r="J104" s="12"/>
      <c r="K104" s="12">
        <v>26035</v>
      </c>
      <c r="L104" s="12"/>
      <c r="M104" s="12">
        <v>18584</v>
      </c>
      <c r="N104" s="12"/>
      <c r="O104" s="12">
        <v>34040</v>
      </c>
      <c r="P104" s="12"/>
      <c r="Q104" s="12">
        <v>0</v>
      </c>
      <c r="R104" s="12"/>
      <c r="S104" s="12">
        <v>0</v>
      </c>
      <c r="T104" s="12"/>
      <c r="U104" s="12">
        <v>0</v>
      </c>
      <c r="V104" s="12"/>
      <c r="W104" s="12">
        <v>0</v>
      </c>
      <c r="X104" s="12"/>
      <c r="Y104" s="12">
        <v>0</v>
      </c>
      <c r="Z104" s="12"/>
      <c r="AA104" s="12">
        <v>0</v>
      </c>
      <c r="AC104" s="12">
        <f t="shared" si="1"/>
        <v>143168</v>
      </c>
    </row>
    <row r="105" spans="1:29" s="11" customFormat="1" ht="12">
      <c r="A105" s="11" t="s">
        <v>459</v>
      </c>
      <c r="C105" s="11" t="s">
        <v>273</v>
      </c>
      <c r="E105" s="12">
        <v>658669.45</v>
      </c>
      <c r="F105" s="12"/>
      <c r="G105" s="12">
        <v>154830.95</v>
      </c>
      <c r="H105" s="12"/>
      <c r="I105" s="12">
        <v>226330.14</v>
      </c>
      <c r="J105" s="12"/>
      <c r="K105" s="12">
        <v>200172.57</v>
      </c>
      <c r="L105" s="12"/>
      <c r="M105" s="12">
        <v>34271.85</v>
      </c>
      <c r="N105" s="12"/>
      <c r="O105" s="12">
        <v>9427.62</v>
      </c>
      <c r="P105" s="12"/>
      <c r="Q105" s="12">
        <v>355034.35</v>
      </c>
      <c r="R105" s="12"/>
      <c r="S105" s="12">
        <v>0</v>
      </c>
      <c r="T105" s="12"/>
      <c r="U105" s="12">
        <v>0</v>
      </c>
      <c r="V105" s="12"/>
      <c r="W105" s="12">
        <v>50000</v>
      </c>
      <c r="X105" s="12"/>
      <c r="Y105" s="12">
        <v>0</v>
      </c>
      <c r="Z105" s="12"/>
      <c r="AA105" s="12">
        <v>0</v>
      </c>
      <c r="AC105" s="12">
        <f t="shared" si="1"/>
        <v>1688736.9300000002</v>
      </c>
    </row>
    <row r="106" spans="1:29" s="11" customFormat="1" ht="12">
      <c r="A106" s="11" t="s">
        <v>460</v>
      </c>
      <c r="C106" s="11" t="s">
        <v>134</v>
      </c>
      <c r="E106" s="12">
        <v>122725.67</v>
      </c>
      <c r="F106" s="12"/>
      <c r="G106" s="12">
        <v>29251.14</v>
      </c>
      <c r="H106" s="12"/>
      <c r="I106" s="12">
        <v>27027.72</v>
      </c>
      <c r="J106" s="12"/>
      <c r="K106" s="12">
        <v>33960.9</v>
      </c>
      <c r="L106" s="12"/>
      <c r="M106" s="12">
        <v>4583.11</v>
      </c>
      <c r="N106" s="12"/>
      <c r="O106" s="12">
        <v>690</v>
      </c>
      <c r="P106" s="12"/>
      <c r="Q106" s="12">
        <v>152391.24</v>
      </c>
      <c r="R106" s="12"/>
      <c r="S106" s="12">
        <v>0</v>
      </c>
      <c r="T106" s="12"/>
      <c r="U106" s="12">
        <v>0</v>
      </c>
      <c r="V106" s="12"/>
      <c r="W106" s="12">
        <v>0</v>
      </c>
      <c r="X106" s="12"/>
      <c r="Y106" s="12">
        <v>0</v>
      </c>
      <c r="Z106" s="12"/>
      <c r="AA106" s="12">
        <v>0</v>
      </c>
      <c r="AC106" s="12">
        <f t="shared" si="1"/>
        <v>370629.77999999997</v>
      </c>
    </row>
    <row r="107" spans="1:29" s="11" customFormat="1" ht="12">
      <c r="A107" s="11" t="s">
        <v>275</v>
      </c>
      <c r="C107" s="11" t="s">
        <v>149</v>
      </c>
      <c r="E107" s="12">
        <v>455422.9</v>
      </c>
      <c r="F107" s="12"/>
      <c r="G107" s="12">
        <v>156304.07</v>
      </c>
      <c r="H107" s="12"/>
      <c r="I107" s="12">
        <v>87034.46</v>
      </c>
      <c r="J107" s="12"/>
      <c r="K107" s="12">
        <v>131491.34</v>
      </c>
      <c r="L107" s="12"/>
      <c r="M107" s="12">
        <v>27441.18</v>
      </c>
      <c r="N107" s="12"/>
      <c r="O107" s="12">
        <v>2394</v>
      </c>
      <c r="P107" s="12"/>
      <c r="Q107" s="12">
        <v>24229.19</v>
      </c>
      <c r="R107" s="12"/>
      <c r="S107" s="12">
        <v>0</v>
      </c>
      <c r="T107" s="12"/>
      <c r="U107" s="12">
        <v>0</v>
      </c>
      <c r="V107" s="12"/>
      <c r="W107" s="12">
        <v>20000</v>
      </c>
      <c r="X107" s="12"/>
      <c r="Y107" s="12">
        <v>0</v>
      </c>
      <c r="Z107" s="12"/>
      <c r="AA107" s="12">
        <v>0</v>
      </c>
      <c r="AC107" s="12">
        <f t="shared" si="1"/>
        <v>904317.1399999999</v>
      </c>
    </row>
    <row r="108" spans="1:29" s="11" customFormat="1" ht="12">
      <c r="A108" s="11" t="s">
        <v>493</v>
      </c>
      <c r="C108" s="11" t="s">
        <v>113</v>
      </c>
      <c r="E108" s="12">
        <v>1001910</v>
      </c>
      <c r="F108" s="12"/>
      <c r="G108" s="12">
        <v>243213</v>
      </c>
      <c r="H108" s="12"/>
      <c r="I108" s="12">
        <v>370066</v>
      </c>
      <c r="J108" s="12"/>
      <c r="K108" s="12">
        <v>262986</v>
      </c>
      <c r="L108" s="12"/>
      <c r="M108" s="12">
        <v>41601</v>
      </c>
      <c r="N108" s="12"/>
      <c r="O108" s="12">
        <v>2856</v>
      </c>
      <c r="P108" s="12"/>
      <c r="Q108" s="12">
        <v>965062</v>
      </c>
      <c r="R108" s="12"/>
      <c r="S108" s="12">
        <v>0</v>
      </c>
      <c r="T108" s="12"/>
      <c r="U108" s="12">
        <v>24054</v>
      </c>
      <c r="V108" s="12"/>
      <c r="W108" s="12">
        <v>0</v>
      </c>
      <c r="X108" s="12"/>
      <c r="Y108" s="12">
        <v>0</v>
      </c>
      <c r="Z108" s="12"/>
      <c r="AA108" s="12">
        <v>0</v>
      </c>
      <c r="AC108" s="12">
        <f t="shared" si="1"/>
        <v>2911748</v>
      </c>
    </row>
    <row r="109" spans="1:29" s="11" customFormat="1" ht="12">
      <c r="A109" s="11" t="s">
        <v>277</v>
      </c>
      <c r="C109" s="11" t="s">
        <v>278</v>
      </c>
      <c r="E109" s="12">
        <v>392406</v>
      </c>
      <c r="F109" s="12"/>
      <c r="G109" s="12">
        <v>117688</v>
      </c>
      <c r="H109" s="12"/>
      <c r="I109" s="12">
        <v>192982</v>
      </c>
      <c r="J109" s="12"/>
      <c r="K109" s="12">
        <v>55396</v>
      </c>
      <c r="L109" s="12"/>
      <c r="M109" s="12">
        <v>17827</v>
      </c>
      <c r="N109" s="12"/>
      <c r="O109" s="12">
        <v>4961</v>
      </c>
      <c r="P109" s="12"/>
      <c r="Q109" s="12">
        <v>12117</v>
      </c>
      <c r="R109" s="12"/>
      <c r="S109" s="12">
        <v>0</v>
      </c>
      <c r="T109" s="12"/>
      <c r="U109" s="12">
        <v>0</v>
      </c>
      <c r="V109" s="12"/>
      <c r="W109" s="12">
        <v>0</v>
      </c>
      <c r="X109" s="12"/>
      <c r="Y109" s="12">
        <v>0</v>
      </c>
      <c r="Z109" s="12"/>
      <c r="AA109" s="12">
        <v>0</v>
      </c>
      <c r="AC109" s="12">
        <f t="shared" si="1"/>
        <v>793377</v>
      </c>
    </row>
    <row r="110" spans="1:29" s="11" customFormat="1" ht="12">
      <c r="A110" s="11" t="s">
        <v>130</v>
      </c>
      <c r="C110" s="11" t="s">
        <v>103</v>
      </c>
      <c r="E110" s="12">
        <v>213954.59</v>
      </c>
      <c r="F110" s="12"/>
      <c r="G110" s="12">
        <v>34749.74</v>
      </c>
      <c r="H110" s="12"/>
      <c r="I110" s="12">
        <v>45354.52</v>
      </c>
      <c r="J110" s="12"/>
      <c r="K110" s="12">
        <v>68637.51</v>
      </c>
      <c r="L110" s="12"/>
      <c r="M110" s="12">
        <v>9327.21</v>
      </c>
      <c r="N110" s="12"/>
      <c r="O110" s="12">
        <v>1790.05</v>
      </c>
      <c r="P110" s="12"/>
      <c r="Q110" s="12">
        <v>1351.82</v>
      </c>
      <c r="R110" s="12"/>
      <c r="S110" s="12">
        <v>25000</v>
      </c>
      <c r="T110" s="12"/>
      <c r="U110" s="12">
        <v>56561.25</v>
      </c>
      <c r="V110" s="12"/>
      <c r="W110" s="12">
        <v>0</v>
      </c>
      <c r="X110" s="12"/>
      <c r="Y110" s="12">
        <v>0</v>
      </c>
      <c r="Z110" s="12"/>
      <c r="AA110" s="12">
        <v>85.87</v>
      </c>
      <c r="AC110" s="12">
        <f t="shared" si="1"/>
        <v>456812.56</v>
      </c>
    </row>
    <row r="111" spans="1:29" s="11" customFormat="1" ht="12">
      <c r="A111" s="11" t="s">
        <v>279</v>
      </c>
      <c r="C111" s="11" t="s">
        <v>266</v>
      </c>
      <c r="E111" s="12">
        <v>434990</v>
      </c>
      <c r="G111" s="12">
        <v>92503</v>
      </c>
      <c r="I111" s="12">
        <v>89164</v>
      </c>
      <c r="K111" s="12">
        <v>175319</v>
      </c>
      <c r="M111" s="12">
        <v>16603</v>
      </c>
      <c r="O111" s="12">
        <v>6595</v>
      </c>
      <c r="Q111" s="12">
        <v>48308</v>
      </c>
      <c r="S111" s="12">
        <v>0</v>
      </c>
      <c r="U111" s="12">
        <v>0</v>
      </c>
      <c r="W111" s="12">
        <v>0</v>
      </c>
      <c r="Y111" s="12">
        <v>0</v>
      </c>
      <c r="AA111" s="12">
        <v>0</v>
      </c>
      <c r="AC111" s="12">
        <f t="shared" si="1"/>
        <v>863482</v>
      </c>
    </row>
    <row r="112" spans="1:29" s="11" customFormat="1" ht="12">
      <c r="A112" s="11" t="s">
        <v>496</v>
      </c>
      <c r="C112" s="11" t="s">
        <v>146</v>
      </c>
      <c r="E112" s="12">
        <v>135562.12</v>
      </c>
      <c r="F112" s="12"/>
      <c r="G112" s="12">
        <v>20247.49</v>
      </c>
      <c r="H112" s="12"/>
      <c r="I112" s="12">
        <v>31168.7</v>
      </c>
      <c r="J112" s="12"/>
      <c r="K112" s="12">
        <v>40780.52</v>
      </c>
      <c r="L112" s="12"/>
      <c r="M112" s="12">
        <v>2875.01</v>
      </c>
      <c r="N112" s="12"/>
      <c r="O112" s="12">
        <v>857</v>
      </c>
      <c r="P112" s="12"/>
      <c r="Q112" s="12">
        <v>13070.19</v>
      </c>
      <c r="R112" s="12"/>
      <c r="S112" s="12">
        <v>0</v>
      </c>
      <c r="T112" s="12"/>
      <c r="U112" s="12">
        <v>0</v>
      </c>
      <c r="V112" s="12"/>
      <c r="W112" s="12">
        <v>0</v>
      </c>
      <c r="X112" s="12"/>
      <c r="Y112" s="12">
        <v>0</v>
      </c>
      <c r="Z112" s="12"/>
      <c r="AA112" s="12">
        <v>0</v>
      </c>
      <c r="AC112" s="12">
        <f t="shared" si="1"/>
        <v>244561.03</v>
      </c>
    </row>
    <row r="113" spans="1:29" s="11" customFormat="1" ht="12">
      <c r="A113" s="11" t="s">
        <v>281</v>
      </c>
      <c r="C113" s="11" t="s">
        <v>282</v>
      </c>
      <c r="E113" s="12">
        <v>258513.9</v>
      </c>
      <c r="F113" s="12"/>
      <c r="G113" s="12">
        <v>126228.71</v>
      </c>
      <c r="H113" s="12"/>
      <c r="I113" s="12">
        <v>62268.12</v>
      </c>
      <c r="J113" s="12"/>
      <c r="K113" s="12">
        <v>63384.3</v>
      </c>
      <c r="L113" s="12"/>
      <c r="M113" s="12">
        <v>14738.67</v>
      </c>
      <c r="N113" s="12"/>
      <c r="O113" s="12">
        <v>1286</v>
      </c>
      <c r="P113" s="12"/>
      <c r="Q113" s="12">
        <v>17065.85</v>
      </c>
      <c r="R113" s="12"/>
      <c r="S113" s="12">
        <v>0</v>
      </c>
      <c r="T113" s="12"/>
      <c r="U113" s="12">
        <v>0</v>
      </c>
      <c r="V113" s="12"/>
      <c r="W113" s="12">
        <v>0</v>
      </c>
      <c r="X113" s="12"/>
      <c r="Y113" s="12">
        <v>0</v>
      </c>
      <c r="Z113" s="12"/>
      <c r="AA113" s="12">
        <v>0</v>
      </c>
      <c r="AC113" s="12">
        <f t="shared" si="1"/>
        <v>543485.5499999999</v>
      </c>
    </row>
    <row r="114" spans="1:29" s="11" customFormat="1" ht="12">
      <c r="A114" s="11" t="s">
        <v>494</v>
      </c>
      <c r="C114" s="11" t="s">
        <v>152</v>
      </c>
      <c r="E114" s="12">
        <v>246668.32</v>
      </c>
      <c r="F114" s="12"/>
      <c r="G114" s="12">
        <v>71939.52</v>
      </c>
      <c r="H114" s="12"/>
      <c r="I114" s="12">
        <v>100919.96</v>
      </c>
      <c r="J114" s="12"/>
      <c r="K114" s="12">
        <v>108077.37</v>
      </c>
      <c r="L114" s="12"/>
      <c r="M114" s="12">
        <v>24141.66</v>
      </c>
      <c r="N114" s="12"/>
      <c r="O114" s="12">
        <v>5472.48</v>
      </c>
      <c r="P114" s="12"/>
      <c r="Q114" s="12">
        <v>30027.09</v>
      </c>
      <c r="R114" s="12"/>
      <c r="S114" s="12">
        <v>0</v>
      </c>
      <c r="T114" s="12"/>
      <c r="U114" s="12">
        <v>0</v>
      </c>
      <c r="V114" s="12"/>
      <c r="W114" s="12">
        <v>0</v>
      </c>
      <c r="X114" s="12"/>
      <c r="Y114" s="12">
        <v>0</v>
      </c>
      <c r="Z114" s="12"/>
      <c r="AA114" s="12">
        <v>0</v>
      </c>
      <c r="AC114" s="12">
        <f t="shared" si="1"/>
        <v>587246.4</v>
      </c>
    </row>
    <row r="115" spans="1:29" s="11" customFormat="1" ht="12">
      <c r="A115" s="11" t="s">
        <v>284</v>
      </c>
      <c r="C115" s="11" t="s">
        <v>138</v>
      </c>
      <c r="E115" s="12">
        <v>587049</v>
      </c>
      <c r="G115" s="12">
        <v>0</v>
      </c>
      <c r="I115" s="12">
        <v>81139</v>
      </c>
      <c r="K115" s="12">
        <v>166501</v>
      </c>
      <c r="M115" s="12">
        <v>18896</v>
      </c>
      <c r="O115" s="12">
        <v>14828</v>
      </c>
      <c r="Q115" s="12">
        <v>5396</v>
      </c>
      <c r="S115" s="12">
        <v>0</v>
      </c>
      <c r="U115" s="12">
        <v>0</v>
      </c>
      <c r="W115" s="12">
        <v>0</v>
      </c>
      <c r="Y115" s="12">
        <v>0</v>
      </c>
      <c r="AA115" s="12">
        <v>0</v>
      </c>
      <c r="AC115" s="12">
        <f t="shared" si="1"/>
        <v>873809</v>
      </c>
    </row>
    <row r="116" spans="1:29" s="11" customFormat="1" ht="12">
      <c r="A116" s="11" t="s">
        <v>285</v>
      </c>
      <c r="C116" s="11" t="s">
        <v>286</v>
      </c>
      <c r="E116" s="12">
        <v>686549.33</v>
      </c>
      <c r="F116" s="12"/>
      <c r="G116" s="12">
        <v>129329.42</v>
      </c>
      <c r="H116" s="12"/>
      <c r="I116" s="12">
        <v>823657.12</v>
      </c>
      <c r="J116" s="12"/>
      <c r="K116" s="12">
        <v>344060.05</v>
      </c>
      <c r="L116" s="12"/>
      <c r="M116" s="12">
        <v>84197.91</v>
      </c>
      <c r="N116" s="12"/>
      <c r="O116" s="12">
        <v>16875.16</v>
      </c>
      <c r="P116" s="12"/>
      <c r="Q116" s="12">
        <v>5556911.03</v>
      </c>
      <c r="R116" s="12"/>
      <c r="S116" s="12">
        <v>0</v>
      </c>
      <c r="T116" s="12"/>
      <c r="U116" s="12">
        <v>0</v>
      </c>
      <c r="V116" s="12"/>
      <c r="W116" s="12">
        <v>22338.52</v>
      </c>
      <c r="X116" s="12"/>
      <c r="Y116" s="12">
        <v>0</v>
      </c>
      <c r="Z116" s="12"/>
      <c r="AA116" s="12">
        <v>0</v>
      </c>
      <c r="AC116" s="12">
        <f t="shared" si="1"/>
        <v>7663918.54</v>
      </c>
    </row>
    <row r="117" spans="1:29" s="11" customFormat="1" ht="12">
      <c r="A117" s="11" t="s">
        <v>287</v>
      </c>
      <c r="C117" s="11" t="s">
        <v>136</v>
      </c>
      <c r="E117" s="12">
        <v>190532.04</v>
      </c>
      <c r="F117" s="12"/>
      <c r="G117" s="12">
        <v>30068.53</v>
      </c>
      <c r="H117" s="12"/>
      <c r="I117" s="12">
        <v>50421.51</v>
      </c>
      <c r="J117" s="12"/>
      <c r="K117" s="12">
        <v>65912.96</v>
      </c>
      <c r="L117" s="12"/>
      <c r="M117" s="12">
        <v>16910.21</v>
      </c>
      <c r="N117" s="12"/>
      <c r="O117" s="12">
        <v>5573.26</v>
      </c>
      <c r="P117" s="12"/>
      <c r="Q117" s="12">
        <v>20271.45</v>
      </c>
      <c r="R117" s="12"/>
      <c r="S117" s="12">
        <v>0</v>
      </c>
      <c r="T117" s="12"/>
      <c r="U117" s="12">
        <v>0</v>
      </c>
      <c r="V117" s="12"/>
      <c r="W117" s="12">
        <v>0</v>
      </c>
      <c r="X117" s="12"/>
      <c r="Y117" s="12">
        <v>0</v>
      </c>
      <c r="Z117" s="12"/>
      <c r="AA117" s="12">
        <v>0</v>
      </c>
      <c r="AC117" s="12">
        <f t="shared" si="1"/>
        <v>379689.9600000001</v>
      </c>
    </row>
    <row r="118" spans="1:29" s="11" customFormat="1" ht="12">
      <c r="A118" s="11" t="s">
        <v>288</v>
      </c>
      <c r="C118" s="11" t="s">
        <v>149</v>
      </c>
      <c r="E118" s="12">
        <v>289935.13</v>
      </c>
      <c r="F118" s="12"/>
      <c r="G118" s="12">
        <v>91488.39</v>
      </c>
      <c r="H118" s="12"/>
      <c r="I118" s="12">
        <v>72645.69</v>
      </c>
      <c r="J118" s="12"/>
      <c r="K118" s="12">
        <v>100774.36</v>
      </c>
      <c r="L118" s="12"/>
      <c r="M118" s="12">
        <v>17240.65</v>
      </c>
      <c r="N118" s="12"/>
      <c r="O118" s="12">
        <v>2490</v>
      </c>
      <c r="P118" s="12"/>
      <c r="Q118" s="12">
        <v>52227.84</v>
      </c>
      <c r="R118" s="12"/>
      <c r="S118" s="12">
        <v>0</v>
      </c>
      <c r="T118" s="12"/>
      <c r="U118" s="12">
        <v>0</v>
      </c>
      <c r="V118" s="12"/>
      <c r="W118" s="12">
        <v>0</v>
      </c>
      <c r="X118" s="12"/>
      <c r="Y118" s="12">
        <v>0</v>
      </c>
      <c r="Z118" s="12"/>
      <c r="AA118" s="12">
        <v>0</v>
      </c>
      <c r="AC118" s="12">
        <f t="shared" si="1"/>
        <v>626802.06</v>
      </c>
    </row>
    <row r="119" spans="1:29" s="11" customFormat="1" ht="12">
      <c r="A119" s="11" t="s">
        <v>289</v>
      </c>
      <c r="C119" s="11" t="s">
        <v>106</v>
      </c>
      <c r="E119" s="12">
        <v>342718.58</v>
      </c>
      <c r="F119" s="12"/>
      <c r="G119" s="12">
        <v>70857.15</v>
      </c>
      <c r="H119" s="12"/>
      <c r="I119" s="12">
        <v>114317.52</v>
      </c>
      <c r="J119" s="12"/>
      <c r="K119" s="12">
        <v>63803.2</v>
      </c>
      <c r="L119" s="12"/>
      <c r="M119" s="12">
        <v>8050.35</v>
      </c>
      <c r="N119" s="12"/>
      <c r="O119" s="12">
        <v>2627.48</v>
      </c>
      <c r="P119" s="12"/>
      <c r="Q119" s="12">
        <v>1650.67</v>
      </c>
      <c r="R119" s="12"/>
      <c r="S119" s="12">
        <v>0</v>
      </c>
      <c r="T119" s="12"/>
      <c r="U119" s="12">
        <v>0</v>
      </c>
      <c r="V119" s="12"/>
      <c r="W119" s="12">
        <v>0</v>
      </c>
      <c r="X119" s="12"/>
      <c r="Y119" s="12">
        <v>0</v>
      </c>
      <c r="Z119" s="12"/>
      <c r="AA119" s="12">
        <v>0</v>
      </c>
      <c r="AC119" s="12">
        <f t="shared" si="1"/>
        <v>604024.95</v>
      </c>
    </row>
    <row r="120" spans="1:29" s="11" customFormat="1" ht="12">
      <c r="A120" s="11" t="s">
        <v>100</v>
      </c>
      <c r="C120" s="11" t="s">
        <v>101</v>
      </c>
      <c r="E120" s="12">
        <v>0</v>
      </c>
      <c r="G120" s="12">
        <v>0</v>
      </c>
      <c r="I120" s="12">
        <f>542643+204983+779300+141263</f>
        <v>1668189</v>
      </c>
      <c r="K120" s="12">
        <f>2951297+1544555</f>
        <v>4495852</v>
      </c>
      <c r="M120" s="12">
        <v>0</v>
      </c>
      <c r="O120" s="12">
        <v>0</v>
      </c>
      <c r="Q120" s="12">
        <v>0</v>
      </c>
      <c r="S120" s="12">
        <v>0</v>
      </c>
      <c r="U120" s="12">
        <v>0</v>
      </c>
      <c r="W120" s="12">
        <v>0</v>
      </c>
      <c r="Y120" s="12">
        <v>0</v>
      </c>
      <c r="AA120" s="12">
        <v>0</v>
      </c>
      <c r="AC120" s="12">
        <f t="shared" si="1"/>
        <v>6164041</v>
      </c>
    </row>
    <row r="121" spans="1:29" s="11" customFormat="1" ht="12">
      <c r="A121" s="11" t="s">
        <v>290</v>
      </c>
      <c r="C121" s="11" t="s">
        <v>147</v>
      </c>
      <c r="E121" s="12">
        <v>406539.65</v>
      </c>
      <c r="F121" s="12"/>
      <c r="G121" s="12">
        <v>392643.64</v>
      </c>
      <c r="H121" s="12"/>
      <c r="I121" s="12">
        <v>124729.16</v>
      </c>
      <c r="J121" s="12"/>
      <c r="K121" s="12">
        <v>316246.04</v>
      </c>
      <c r="L121" s="12"/>
      <c r="M121" s="12">
        <v>40871.09</v>
      </c>
      <c r="N121" s="12"/>
      <c r="O121" s="12">
        <v>12875.56</v>
      </c>
      <c r="P121" s="12"/>
      <c r="Q121" s="12">
        <v>22424</v>
      </c>
      <c r="R121" s="12"/>
      <c r="S121" s="12">
        <v>0</v>
      </c>
      <c r="T121" s="12"/>
      <c r="U121" s="12">
        <v>0</v>
      </c>
      <c r="V121" s="12"/>
      <c r="W121" s="12">
        <v>0</v>
      </c>
      <c r="X121" s="12"/>
      <c r="Y121" s="12">
        <v>0</v>
      </c>
      <c r="Z121" s="12"/>
      <c r="AA121" s="12">
        <v>0</v>
      </c>
      <c r="AC121" s="12">
        <f t="shared" si="1"/>
        <v>1316329.1400000001</v>
      </c>
    </row>
    <row r="122" spans="1:29" s="11" customFormat="1" ht="12">
      <c r="A122" s="11" t="s">
        <v>461</v>
      </c>
      <c r="C122" s="11" t="s">
        <v>144</v>
      </c>
      <c r="E122" s="12">
        <v>97282.35</v>
      </c>
      <c r="F122" s="12"/>
      <c r="G122" s="12">
        <v>29284.33</v>
      </c>
      <c r="H122" s="12"/>
      <c r="I122" s="12">
        <v>100888.14</v>
      </c>
      <c r="J122" s="12"/>
      <c r="K122" s="12">
        <v>46487.87</v>
      </c>
      <c r="L122" s="12"/>
      <c r="M122" s="12">
        <v>6060.74</v>
      </c>
      <c r="N122" s="12"/>
      <c r="O122" s="12">
        <v>3097.36</v>
      </c>
      <c r="P122" s="12"/>
      <c r="Q122" s="12">
        <v>868.12</v>
      </c>
      <c r="R122" s="12"/>
      <c r="S122" s="12">
        <v>0</v>
      </c>
      <c r="T122" s="12"/>
      <c r="U122" s="12">
        <v>0</v>
      </c>
      <c r="V122" s="12"/>
      <c r="W122" s="12">
        <v>0</v>
      </c>
      <c r="X122" s="12"/>
      <c r="Y122" s="12">
        <v>0</v>
      </c>
      <c r="Z122" s="12"/>
      <c r="AA122" s="12">
        <v>0</v>
      </c>
      <c r="AC122" s="12">
        <f t="shared" si="1"/>
        <v>283968.91</v>
      </c>
    </row>
    <row r="123" spans="1:29" s="11" customFormat="1" ht="12">
      <c r="A123" s="11" t="s">
        <v>292</v>
      </c>
      <c r="C123" s="11" t="s">
        <v>144</v>
      </c>
      <c r="E123" s="12">
        <v>257236.99</v>
      </c>
      <c r="F123" s="12"/>
      <c r="G123" s="12">
        <v>95276.65</v>
      </c>
      <c r="H123" s="12"/>
      <c r="I123" s="12">
        <v>59072.29</v>
      </c>
      <c r="J123" s="12"/>
      <c r="K123" s="12">
        <v>90071.73</v>
      </c>
      <c r="L123" s="12"/>
      <c r="M123" s="12">
        <v>31843.69</v>
      </c>
      <c r="N123" s="12"/>
      <c r="O123" s="12">
        <v>4902.94</v>
      </c>
      <c r="P123" s="12"/>
      <c r="Q123" s="12">
        <v>27603.39</v>
      </c>
      <c r="R123" s="12"/>
      <c r="S123" s="12">
        <v>0</v>
      </c>
      <c r="T123" s="12"/>
      <c r="U123" s="12">
        <v>0</v>
      </c>
      <c r="V123" s="12"/>
      <c r="W123" s="12">
        <v>0</v>
      </c>
      <c r="X123" s="12"/>
      <c r="Y123" s="12">
        <v>0</v>
      </c>
      <c r="Z123" s="12"/>
      <c r="AA123" s="12">
        <v>0</v>
      </c>
      <c r="AC123" s="12">
        <f t="shared" si="1"/>
        <v>566007.6799999999</v>
      </c>
    </row>
    <row r="124" spans="1:29" s="11" customFormat="1" ht="12">
      <c r="A124" s="11" t="s">
        <v>293</v>
      </c>
      <c r="C124" s="11" t="s">
        <v>153</v>
      </c>
      <c r="E124" s="12">
        <v>74213.13</v>
      </c>
      <c r="F124" s="12"/>
      <c r="G124" s="12">
        <v>26825.91</v>
      </c>
      <c r="H124" s="12"/>
      <c r="I124" s="12">
        <v>42421.47</v>
      </c>
      <c r="J124" s="12"/>
      <c r="K124" s="12">
        <v>29346.71</v>
      </c>
      <c r="L124" s="12"/>
      <c r="M124" s="12">
        <v>4145.99</v>
      </c>
      <c r="N124" s="12"/>
      <c r="O124" s="12">
        <v>2930</v>
      </c>
      <c r="P124" s="12"/>
      <c r="Q124" s="12">
        <v>143591</v>
      </c>
      <c r="R124" s="12"/>
      <c r="S124" s="12">
        <v>12176.36</v>
      </c>
      <c r="T124" s="12"/>
      <c r="U124" s="12">
        <v>10571.08</v>
      </c>
      <c r="V124" s="12"/>
      <c r="W124" s="12">
        <v>0</v>
      </c>
      <c r="X124" s="12"/>
      <c r="Y124" s="12">
        <v>0</v>
      </c>
      <c r="Z124" s="12"/>
      <c r="AA124" s="12">
        <v>0</v>
      </c>
      <c r="AC124" s="12">
        <f t="shared" si="1"/>
        <v>346221.64999999997</v>
      </c>
    </row>
    <row r="125" spans="1:29" s="11" customFormat="1" ht="12">
      <c r="A125" s="11" t="s">
        <v>294</v>
      </c>
      <c r="C125" s="11" t="s">
        <v>194</v>
      </c>
      <c r="E125" s="12">
        <v>0</v>
      </c>
      <c r="G125" s="12">
        <v>0</v>
      </c>
      <c r="I125" s="12">
        <f>528116+165754+2391925</f>
        <v>3085795</v>
      </c>
      <c r="K125" s="12">
        <f>229315+621801</f>
        <v>851116</v>
      </c>
      <c r="M125" s="12">
        <v>0</v>
      </c>
      <c r="O125" s="12">
        <v>0</v>
      </c>
      <c r="Q125" s="12">
        <v>0</v>
      </c>
      <c r="S125" s="12">
        <v>308973</v>
      </c>
      <c r="U125" s="12">
        <v>4200</v>
      </c>
      <c r="W125" s="12">
        <v>0</v>
      </c>
      <c r="Y125" s="12">
        <v>0</v>
      </c>
      <c r="AA125" s="12">
        <v>26</v>
      </c>
      <c r="AC125" s="12">
        <f t="shared" si="1"/>
        <v>4250110</v>
      </c>
    </row>
    <row r="126" spans="1:29" s="11" customFormat="1" ht="12">
      <c r="A126" s="11" t="s">
        <v>295</v>
      </c>
      <c r="C126" s="11" t="s">
        <v>183</v>
      </c>
      <c r="E126" s="12">
        <v>862340</v>
      </c>
      <c r="G126" s="12">
        <v>99292</v>
      </c>
      <c r="I126" s="12">
        <v>225758</v>
      </c>
      <c r="K126" s="12">
        <v>238562</v>
      </c>
      <c r="M126" s="12">
        <v>68135</v>
      </c>
      <c r="O126" s="12">
        <f>6625+3000</f>
        <v>9625</v>
      </c>
      <c r="Q126" s="12">
        <f>113968+66403</f>
        <v>180371</v>
      </c>
      <c r="S126" s="12">
        <v>0</v>
      </c>
      <c r="U126" s="12">
        <v>0</v>
      </c>
      <c r="W126" s="12">
        <v>0</v>
      </c>
      <c r="Y126" s="12">
        <v>0</v>
      </c>
      <c r="AA126" s="12">
        <v>0</v>
      </c>
      <c r="AC126" s="12">
        <f t="shared" si="1"/>
        <v>1684083</v>
      </c>
    </row>
    <row r="127" spans="1:29" s="11" customFormat="1" ht="12">
      <c r="A127" s="11" t="s">
        <v>296</v>
      </c>
      <c r="C127" s="11" t="s">
        <v>297</v>
      </c>
      <c r="E127" s="12">
        <v>286164</v>
      </c>
      <c r="G127" s="12">
        <v>106277</v>
      </c>
      <c r="I127" s="12">
        <v>121236</v>
      </c>
      <c r="K127" s="12">
        <v>188174</v>
      </c>
      <c r="M127" s="12">
        <v>30341</v>
      </c>
      <c r="O127" s="12">
        <v>3891</v>
      </c>
      <c r="Q127" s="12">
        <v>217837</v>
      </c>
      <c r="S127" s="12">
        <v>0</v>
      </c>
      <c r="U127" s="12">
        <v>0</v>
      </c>
      <c r="W127" s="12">
        <v>0</v>
      </c>
      <c r="Y127" s="12">
        <v>0</v>
      </c>
      <c r="AA127" s="12">
        <v>0</v>
      </c>
      <c r="AC127" s="12">
        <f t="shared" si="1"/>
        <v>953920</v>
      </c>
    </row>
    <row r="128" spans="1:29" s="11" customFormat="1" ht="12">
      <c r="A128" s="11" t="s">
        <v>102</v>
      </c>
      <c r="C128" s="11" t="s">
        <v>103</v>
      </c>
      <c r="E128" s="12">
        <v>0</v>
      </c>
      <c r="G128" s="12">
        <v>0</v>
      </c>
      <c r="I128" s="12">
        <v>815265</v>
      </c>
      <c r="K128" s="12">
        <v>0</v>
      </c>
      <c r="M128" s="12">
        <v>0</v>
      </c>
      <c r="O128" s="12">
        <v>0</v>
      </c>
      <c r="Q128" s="12">
        <v>23024</v>
      </c>
      <c r="S128" s="12">
        <v>0</v>
      </c>
      <c r="U128" s="12">
        <v>0</v>
      </c>
      <c r="W128" s="12">
        <v>152300</v>
      </c>
      <c r="Y128" s="12">
        <v>0</v>
      </c>
      <c r="AA128" s="12">
        <v>0</v>
      </c>
      <c r="AC128" s="12">
        <f t="shared" si="1"/>
        <v>990589</v>
      </c>
    </row>
    <row r="129" spans="1:29" s="11" customFormat="1" ht="12">
      <c r="A129" s="11" t="s">
        <v>298</v>
      </c>
      <c r="C129" s="11" t="s">
        <v>150</v>
      </c>
      <c r="E129" s="12">
        <v>3681276</v>
      </c>
      <c r="G129" s="12">
        <v>985025</v>
      </c>
      <c r="I129" s="12">
        <v>1180247</v>
      </c>
      <c r="K129" s="12">
        <v>1303165</v>
      </c>
      <c r="M129" s="12">
        <v>199044</v>
      </c>
      <c r="O129" s="12">
        <v>18629</v>
      </c>
      <c r="Q129" s="12">
        <v>249336</v>
      </c>
      <c r="S129" s="12">
        <v>385000</v>
      </c>
      <c r="U129" s="12">
        <v>93050</v>
      </c>
      <c r="W129" s="12">
        <v>1064038</v>
      </c>
      <c r="Y129" s="12">
        <v>0</v>
      </c>
      <c r="AA129" s="12">
        <v>0</v>
      </c>
      <c r="AC129" s="12">
        <f t="shared" si="1"/>
        <v>9158810</v>
      </c>
    </row>
    <row r="130" spans="1:29" s="11" customFormat="1" ht="12">
      <c r="A130" s="11" t="s">
        <v>299</v>
      </c>
      <c r="C130" s="11" t="s">
        <v>177</v>
      </c>
      <c r="E130" s="12">
        <v>348675</v>
      </c>
      <c r="G130" s="12">
        <v>92698</v>
      </c>
      <c r="I130" s="12">
        <v>126815</v>
      </c>
      <c r="K130" s="12">
        <v>92598</v>
      </c>
      <c r="M130" s="12">
        <v>14734</v>
      </c>
      <c r="O130" s="12">
        <v>5003</v>
      </c>
      <c r="Q130" s="12">
        <v>30793</v>
      </c>
      <c r="S130" s="12">
        <v>68613</v>
      </c>
      <c r="U130" s="12">
        <v>11284</v>
      </c>
      <c r="W130" s="12">
        <v>0</v>
      </c>
      <c r="Y130" s="12">
        <v>0</v>
      </c>
      <c r="AA130" s="12">
        <v>0</v>
      </c>
      <c r="AC130" s="12">
        <f t="shared" si="1"/>
        <v>791213</v>
      </c>
    </row>
    <row r="131" spans="1:29" s="11" customFormat="1" ht="12">
      <c r="A131" s="11" t="s">
        <v>462</v>
      </c>
      <c r="C131" s="11" t="s">
        <v>116</v>
      </c>
      <c r="E131" s="12">
        <v>0</v>
      </c>
      <c r="F131" s="12"/>
      <c r="G131" s="12">
        <v>0</v>
      </c>
      <c r="H131" s="12"/>
      <c r="I131" s="12">
        <v>0</v>
      </c>
      <c r="J131" s="12"/>
      <c r="K131" s="12">
        <v>773493</v>
      </c>
      <c r="L131" s="12"/>
      <c r="M131" s="12">
        <v>0</v>
      </c>
      <c r="N131" s="12"/>
      <c r="O131" s="12">
        <v>0</v>
      </c>
      <c r="P131" s="12"/>
      <c r="Q131" s="12">
        <v>16566</v>
      </c>
      <c r="R131" s="12"/>
      <c r="S131" s="12">
        <v>0</v>
      </c>
      <c r="T131" s="12"/>
      <c r="U131" s="12">
        <v>0</v>
      </c>
      <c r="V131" s="12"/>
      <c r="W131" s="12">
        <v>0</v>
      </c>
      <c r="X131" s="12"/>
      <c r="Y131" s="12">
        <v>0</v>
      </c>
      <c r="Z131" s="12"/>
      <c r="AA131" s="12">
        <v>0</v>
      </c>
      <c r="AC131" s="12">
        <f t="shared" si="1"/>
        <v>790059</v>
      </c>
    </row>
    <row r="132" spans="1:29" s="11" customFormat="1" ht="12">
      <c r="A132" s="11" t="s">
        <v>301</v>
      </c>
      <c r="C132" s="11" t="s">
        <v>106</v>
      </c>
      <c r="E132" s="12">
        <v>529428</v>
      </c>
      <c r="G132" s="12">
        <v>131985</v>
      </c>
      <c r="I132" s="12">
        <v>147922</v>
      </c>
      <c r="K132" s="12">
        <v>277864</v>
      </c>
      <c r="M132" s="12">
        <v>25720</v>
      </c>
      <c r="O132" s="12">
        <v>50859</v>
      </c>
      <c r="Q132" s="12">
        <v>0</v>
      </c>
      <c r="S132" s="12">
        <v>0</v>
      </c>
      <c r="U132" s="12">
        <v>0</v>
      </c>
      <c r="W132" s="12">
        <v>48516</v>
      </c>
      <c r="Y132" s="12">
        <v>0</v>
      </c>
      <c r="AA132" s="12">
        <v>0</v>
      </c>
      <c r="AC132" s="12">
        <f t="shared" si="1"/>
        <v>1212294</v>
      </c>
    </row>
    <row r="133" spans="1:29" s="11" customFormat="1" ht="12">
      <c r="A133" s="11" t="s">
        <v>302</v>
      </c>
      <c r="C133" s="11" t="s">
        <v>303</v>
      </c>
      <c r="E133" s="12">
        <v>3696380</v>
      </c>
      <c r="G133" s="12">
        <v>1928912</v>
      </c>
      <c r="I133" s="12">
        <v>959123</v>
      </c>
      <c r="K133" s="12">
        <v>1191347</v>
      </c>
      <c r="M133" s="12">
        <v>234752</v>
      </c>
      <c r="O133" s="12">
        <v>30764</v>
      </c>
      <c r="Q133" s="12">
        <f>156401+60795</f>
        <v>217196</v>
      </c>
      <c r="S133" s="12">
        <v>325000</v>
      </c>
      <c r="U133" s="12">
        <v>47938</v>
      </c>
      <c r="W133" s="12">
        <v>380000</v>
      </c>
      <c r="Y133" s="12">
        <v>0</v>
      </c>
      <c r="AA133" s="12">
        <v>0</v>
      </c>
      <c r="AC133" s="12">
        <f t="shared" si="1"/>
        <v>9011412</v>
      </c>
    </row>
    <row r="134" spans="5:29" s="11" customFormat="1" ht="12"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C134" s="27" t="s">
        <v>98</v>
      </c>
    </row>
    <row r="135" spans="1:29" s="11" customFormat="1" ht="12">
      <c r="A135" s="11" t="s">
        <v>304</v>
      </c>
      <c r="C135" s="11" t="s">
        <v>201</v>
      </c>
      <c r="E135" s="26">
        <v>24457.71</v>
      </c>
      <c r="F135" s="26"/>
      <c r="G135" s="26">
        <v>2798.43</v>
      </c>
      <c r="H135" s="26"/>
      <c r="I135" s="26">
        <v>17595.34</v>
      </c>
      <c r="J135" s="26"/>
      <c r="K135" s="26">
        <v>17711.84</v>
      </c>
      <c r="L135" s="26"/>
      <c r="M135" s="26">
        <v>5074.82</v>
      </c>
      <c r="N135" s="26"/>
      <c r="O135" s="26">
        <v>492</v>
      </c>
      <c r="P135" s="26"/>
      <c r="Q135" s="26">
        <v>5160.53</v>
      </c>
      <c r="R135" s="26"/>
      <c r="S135" s="26">
        <v>0</v>
      </c>
      <c r="T135" s="26"/>
      <c r="U135" s="26">
        <v>0</v>
      </c>
      <c r="V135" s="26"/>
      <c r="W135" s="26">
        <v>0</v>
      </c>
      <c r="X135" s="26"/>
      <c r="Y135" s="26">
        <v>0</v>
      </c>
      <c r="Z135" s="26"/>
      <c r="AA135" s="26">
        <v>1845.98</v>
      </c>
      <c r="AB135" s="26"/>
      <c r="AC135" s="26">
        <f aca="true" t="shared" si="2" ref="AC135:AC163">SUM(E135:AA135)</f>
        <v>75136.64999999998</v>
      </c>
    </row>
    <row r="136" spans="1:29" s="11" customFormat="1" ht="12">
      <c r="A136" s="11" t="s">
        <v>305</v>
      </c>
      <c r="C136" s="11" t="s">
        <v>306</v>
      </c>
      <c r="E136" s="12">
        <v>1406305</v>
      </c>
      <c r="G136" s="12">
        <v>479437</v>
      </c>
      <c r="I136" s="12">
        <v>277689</v>
      </c>
      <c r="K136" s="12">
        <v>358063</v>
      </c>
      <c r="M136" s="12">
        <v>44568</v>
      </c>
      <c r="O136" s="12">
        <v>13343</v>
      </c>
      <c r="Q136" s="12">
        <v>137438</v>
      </c>
      <c r="S136" s="12">
        <v>0</v>
      </c>
      <c r="U136" s="12">
        <v>0</v>
      </c>
      <c r="W136" s="12">
        <v>0</v>
      </c>
      <c r="Y136" s="12">
        <v>0</v>
      </c>
      <c r="AA136" s="12">
        <v>0</v>
      </c>
      <c r="AC136" s="12">
        <f t="shared" si="2"/>
        <v>2716843</v>
      </c>
    </row>
    <row r="137" spans="1:29" s="11" customFormat="1" ht="12">
      <c r="A137" s="11" t="s">
        <v>600</v>
      </c>
      <c r="C137" s="11" t="s">
        <v>104</v>
      </c>
      <c r="E137" s="12">
        <v>560646</v>
      </c>
      <c r="G137" s="12">
        <v>145646</v>
      </c>
      <c r="I137" s="12">
        <v>214128</v>
      </c>
      <c r="K137" s="12">
        <v>253088</v>
      </c>
      <c r="M137" s="12">
        <v>39236</v>
      </c>
      <c r="O137" s="12">
        <v>5279</v>
      </c>
      <c r="Q137" s="12">
        <v>22907</v>
      </c>
      <c r="S137" s="12">
        <v>0</v>
      </c>
      <c r="U137" s="12">
        <v>0</v>
      </c>
      <c r="W137" s="12">
        <v>7000</v>
      </c>
      <c r="Y137" s="12">
        <v>0</v>
      </c>
      <c r="AA137" s="12">
        <v>0</v>
      </c>
      <c r="AC137" s="12">
        <f t="shared" si="2"/>
        <v>1247930</v>
      </c>
    </row>
    <row r="138" spans="1:29" s="11" customFormat="1" ht="12">
      <c r="A138" s="11" t="s">
        <v>307</v>
      </c>
      <c r="C138" s="11" t="s">
        <v>303</v>
      </c>
      <c r="E138" s="12">
        <v>249574.97</v>
      </c>
      <c r="F138" s="12"/>
      <c r="G138" s="12">
        <v>96814.56</v>
      </c>
      <c r="H138" s="12"/>
      <c r="I138" s="12">
        <v>94102.17</v>
      </c>
      <c r="J138" s="12"/>
      <c r="K138" s="12">
        <v>97496.87</v>
      </c>
      <c r="L138" s="12"/>
      <c r="M138" s="12">
        <v>19057.26</v>
      </c>
      <c r="N138" s="12"/>
      <c r="O138" s="12">
        <v>2514.58</v>
      </c>
      <c r="P138" s="12"/>
      <c r="Q138" s="12">
        <v>34714.24</v>
      </c>
      <c r="R138" s="12"/>
      <c r="S138" s="12">
        <v>0</v>
      </c>
      <c r="T138" s="12"/>
      <c r="U138" s="12">
        <v>0</v>
      </c>
      <c r="V138" s="12"/>
      <c r="W138" s="12">
        <v>10000</v>
      </c>
      <c r="X138" s="12"/>
      <c r="Y138" s="12">
        <v>0</v>
      </c>
      <c r="Z138" s="12"/>
      <c r="AA138" s="12">
        <v>0</v>
      </c>
      <c r="AC138" s="12">
        <f t="shared" si="2"/>
        <v>604274.65</v>
      </c>
    </row>
    <row r="139" spans="1:29" s="11" customFormat="1" ht="12">
      <c r="A139" s="11" t="s">
        <v>308</v>
      </c>
      <c r="C139" s="11" t="s">
        <v>147</v>
      </c>
      <c r="E139" s="12">
        <v>368444.37</v>
      </c>
      <c r="F139" s="12"/>
      <c r="G139" s="12">
        <v>60994.5</v>
      </c>
      <c r="H139" s="12"/>
      <c r="I139" s="12">
        <v>96064.59</v>
      </c>
      <c r="J139" s="12"/>
      <c r="K139" s="12">
        <v>153135.08</v>
      </c>
      <c r="L139" s="12"/>
      <c r="M139" s="12">
        <v>11183.57</v>
      </c>
      <c r="N139" s="12"/>
      <c r="O139" s="12">
        <v>4782.46</v>
      </c>
      <c r="P139" s="12"/>
      <c r="Q139" s="12">
        <v>48501.68</v>
      </c>
      <c r="R139" s="12"/>
      <c r="S139" s="12">
        <v>0</v>
      </c>
      <c r="T139" s="12"/>
      <c r="U139" s="12">
        <v>0</v>
      </c>
      <c r="V139" s="12"/>
      <c r="W139" s="12">
        <v>0</v>
      </c>
      <c r="X139" s="12"/>
      <c r="Y139" s="12">
        <v>0</v>
      </c>
      <c r="Z139" s="12"/>
      <c r="AA139" s="12">
        <v>0</v>
      </c>
      <c r="AC139" s="12">
        <f t="shared" si="2"/>
        <v>743106.2499999999</v>
      </c>
    </row>
    <row r="140" spans="1:29" s="11" customFormat="1" ht="12">
      <c r="A140" s="11" t="s">
        <v>309</v>
      </c>
      <c r="C140" s="11" t="s">
        <v>154</v>
      </c>
      <c r="E140" s="12">
        <v>301880.08</v>
      </c>
      <c r="F140" s="12"/>
      <c r="G140" s="12">
        <v>81451.52</v>
      </c>
      <c r="H140" s="12"/>
      <c r="I140" s="12">
        <v>110934.13</v>
      </c>
      <c r="J140" s="12"/>
      <c r="K140" s="12">
        <v>138966.62</v>
      </c>
      <c r="L140" s="12"/>
      <c r="M140" s="12">
        <v>26880.08</v>
      </c>
      <c r="N140" s="12"/>
      <c r="O140" s="12">
        <v>8847.67</v>
      </c>
      <c r="P140" s="12"/>
      <c r="Q140" s="12">
        <v>176789.29</v>
      </c>
      <c r="R140" s="12"/>
      <c r="S140" s="12">
        <v>0</v>
      </c>
      <c r="T140" s="12"/>
      <c r="U140" s="12">
        <v>0</v>
      </c>
      <c r="V140" s="12"/>
      <c r="W140" s="12">
        <v>223572.24</v>
      </c>
      <c r="X140" s="12"/>
      <c r="Y140" s="12">
        <v>0</v>
      </c>
      <c r="Z140" s="12"/>
      <c r="AA140" s="12">
        <v>0</v>
      </c>
      <c r="AC140" s="12">
        <f t="shared" si="2"/>
        <v>1069321.6300000001</v>
      </c>
    </row>
    <row r="141" spans="1:29" s="11" customFormat="1" ht="12">
      <c r="A141" s="11" t="s">
        <v>310</v>
      </c>
      <c r="C141" s="11" t="s">
        <v>311</v>
      </c>
      <c r="E141" s="12">
        <v>653080</v>
      </c>
      <c r="G141" s="12">
        <v>150811</v>
      </c>
      <c r="I141" s="12">
        <v>111778</v>
      </c>
      <c r="K141" s="12">
        <v>230370</v>
      </c>
      <c r="M141" s="12">
        <v>19063</v>
      </c>
      <c r="O141" s="12">
        <v>80750</v>
      </c>
      <c r="Q141" s="12">
        <v>79413</v>
      </c>
      <c r="S141" s="12">
        <v>0</v>
      </c>
      <c r="U141" s="12">
        <v>0</v>
      </c>
      <c r="W141" s="12">
        <v>322000</v>
      </c>
      <c r="Y141" s="12">
        <v>0</v>
      </c>
      <c r="AA141" s="12">
        <v>0</v>
      </c>
      <c r="AC141" s="12">
        <f t="shared" si="2"/>
        <v>1647265</v>
      </c>
    </row>
    <row r="142" spans="1:29" s="11" customFormat="1" ht="12">
      <c r="A142" s="11" t="s">
        <v>312</v>
      </c>
      <c r="C142" s="11" t="s">
        <v>147</v>
      </c>
      <c r="E142" s="12">
        <v>580430.24</v>
      </c>
      <c r="F142" s="12"/>
      <c r="G142" s="12">
        <v>205755.59</v>
      </c>
      <c r="H142" s="12"/>
      <c r="I142" s="12">
        <v>141100.33</v>
      </c>
      <c r="J142" s="12"/>
      <c r="K142" s="12">
        <v>257922.16</v>
      </c>
      <c r="L142" s="12"/>
      <c r="M142" s="12">
        <v>30798.12</v>
      </c>
      <c r="N142" s="12"/>
      <c r="O142" s="12">
        <v>5622.91</v>
      </c>
      <c r="P142" s="12"/>
      <c r="Q142" s="12">
        <v>79344.27</v>
      </c>
      <c r="R142" s="12"/>
      <c r="S142" s="12">
        <v>0</v>
      </c>
      <c r="T142" s="12"/>
      <c r="U142" s="12">
        <v>0</v>
      </c>
      <c r="V142" s="12"/>
      <c r="W142" s="12">
        <v>0</v>
      </c>
      <c r="X142" s="12"/>
      <c r="Y142" s="12">
        <v>0</v>
      </c>
      <c r="Z142" s="12"/>
      <c r="AA142" s="12">
        <v>0</v>
      </c>
      <c r="AC142" s="12">
        <f t="shared" si="2"/>
        <v>1300973.6199999999</v>
      </c>
    </row>
    <row r="143" spans="1:29" s="11" customFormat="1" ht="12">
      <c r="A143" s="11" t="s">
        <v>313</v>
      </c>
      <c r="C143" s="11" t="s">
        <v>116</v>
      </c>
      <c r="E143" s="12">
        <v>997301</v>
      </c>
      <c r="G143" s="12">
        <v>218023</v>
      </c>
      <c r="I143" s="12">
        <v>268542</v>
      </c>
      <c r="K143" s="12">
        <v>263977</v>
      </c>
      <c r="M143" s="12">
        <v>48108</v>
      </c>
      <c r="O143" s="12">
        <v>13382</v>
      </c>
      <c r="Q143" s="12">
        <v>205839</v>
      </c>
      <c r="S143" s="12">
        <v>0</v>
      </c>
      <c r="U143" s="12">
        <v>0</v>
      </c>
      <c r="W143" s="12">
        <v>74221</v>
      </c>
      <c r="Y143" s="12">
        <v>0</v>
      </c>
      <c r="AA143" s="12">
        <v>0</v>
      </c>
      <c r="AC143" s="12">
        <f t="shared" si="2"/>
        <v>2089393</v>
      </c>
    </row>
    <row r="144" spans="1:29" s="11" customFormat="1" ht="12">
      <c r="A144" s="11" t="s">
        <v>497</v>
      </c>
      <c r="C144" s="11" t="s">
        <v>244</v>
      </c>
      <c r="E144" s="12">
        <v>174686.84</v>
      </c>
      <c r="F144" s="12"/>
      <c r="G144" s="12">
        <v>70911.36</v>
      </c>
      <c r="H144" s="12"/>
      <c r="I144" s="12">
        <v>39835.89</v>
      </c>
      <c r="J144" s="12"/>
      <c r="K144" s="12">
        <v>26670.94</v>
      </c>
      <c r="L144" s="12"/>
      <c r="M144" s="12">
        <v>8096.84</v>
      </c>
      <c r="N144" s="12"/>
      <c r="O144" s="12">
        <v>4243</v>
      </c>
      <c r="P144" s="12"/>
      <c r="Q144" s="12">
        <v>11601</v>
      </c>
      <c r="R144" s="12"/>
      <c r="S144" s="12">
        <v>0</v>
      </c>
      <c r="T144" s="12"/>
      <c r="U144" s="12">
        <v>0</v>
      </c>
      <c r="V144" s="12"/>
      <c r="W144" s="12">
        <v>0</v>
      </c>
      <c r="X144" s="12"/>
      <c r="Y144" s="12">
        <v>0</v>
      </c>
      <c r="Z144" s="12"/>
      <c r="AA144" s="12">
        <v>0</v>
      </c>
      <c r="AC144" s="12">
        <f t="shared" si="2"/>
        <v>336045.87000000005</v>
      </c>
    </row>
    <row r="145" spans="1:29" s="11" customFormat="1" ht="12">
      <c r="A145" s="11" t="s">
        <v>315</v>
      </c>
      <c r="C145" s="11" t="s">
        <v>155</v>
      </c>
      <c r="E145" s="12">
        <v>183296.72</v>
      </c>
      <c r="F145" s="12"/>
      <c r="G145" s="12">
        <v>73833.36</v>
      </c>
      <c r="H145" s="12"/>
      <c r="I145" s="12">
        <v>38901.07</v>
      </c>
      <c r="J145" s="12"/>
      <c r="K145" s="12">
        <v>48017.57</v>
      </c>
      <c r="L145" s="12"/>
      <c r="M145" s="12">
        <v>9667.98</v>
      </c>
      <c r="N145" s="12"/>
      <c r="O145" s="12">
        <v>1150</v>
      </c>
      <c r="P145" s="12"/>
      <c r="Q145" s="12">
        <v>19182.98</v>
      </c>
      <c r="R145" s="12"/>
      <c r="S145" s="12">
        <v>0</v>
      </c>
      <c r="T145" s="12"/>
      <c r="U145" s="12">
        <v>0</v>
      </c>
      <c r="V145" s="12"/>
      <c r="W145" s="12">
        <v>0</v>
      </c>
      <c r="X145" s="12"/>
      <c r="Y145" s="12">
        <v>0</v>
      </c>
      <c r="Z145" s="12"/>
      <c r="AA145" s="12">
        <v>6303.19</v>
      </c>
      <c r="AC145" s="12">
        <f t="shared" si="2"/>
        <v>380352.87</v>
      </c>
    </row>
    <row r="146" spans="1:29" s="11" customFormat="1" ht="12">
      <c r="A146" s="11" t="s">
        <v>316</v>
      </c>
      <c r="C146" s="11" t="s">
        <v>111</v>
      </c>
      <c r="E146" s="12">
        <v>3567928</v>
      </c>
      <c r="G146" s="12">
        <v>966186</v>
      </c>
      <c r="I146" s="12">
        <v>3474353</v>
      </c>
      <c r="K146" s="12">
        <v>1585736</v>
      </c>
      <c r="M146" s="12">
        <v>206286</v>
      </c>
      <c r="O146" s="12">
        <v>17821</v>
      </c>
      <c r="Q146" s="12">
        <v>9070800</v>
      </c>
      <c r="S146" s="12">
        <v>1740000</v>
      </c>
      <c r="U146" s="12">
        <v>1727688</v>
      </c>
      <c r="W146" s="12">
        <v>0</v>
      </c>
      <c r="Y146" s="12">
        <v>0</v>
      </c>
      <c r="AA146" s="12">
        <v>0</v>
      </c>
      <c r="AC146" s="12">
        <f t="shared" si="2"/>
        <v>22356798</v>
      </c>
    </row>
    <row r="147" spans="1:54" s="38" customFormat="1" ht="12.75">
      <c r="A147" s="11" t="s">
        <v>604</v>
      </c>
      <c r="B147" s="11"/>
      <c r="C147" s="12" t="s">
        <v>603</v>
      </c>
      <c r="D147" s="12"/>
      <c r="E147" s="12">
        <v>421375.81</v>
      </c>
      <c r="F147" s="12"/>
      <c r="G147" s="12">
        <v>106033.57</v>
      </c>
      <c r="H147" s="12"/>
      <c r="I147" s="12">
        <v>89986.56</v>
      </c>
      <c r="J147" s="12"/>
      <c r="K147" s="12">
        <v>133458.61</v>
      </c>
      <c r="L147" s="12"/>
      <c r="M147" s="12">
        <v>17281.32</v>
      </c>
      <c r="N147" s="12"/>
      <c r="O147" s="12">
        <v>4479.57</v>
      </c>
      <c r="P147" s="12"/>
      <c r="Q147" s="12">
        <v>48396.7</v>
      </c>
      <c r="R147" s="12"/>
      <c r="S147" s="12">
        <v>0</v>
      </c>
      <c r="T147" s="12"/>
      <c r="U147" s="12">
        <v>0</v>
      </c>
      <c r="V147" s="12"/>
      <c r="W147" s="12">
        <v>150000</v>
      </c>
      <c r="X147" s="12"/>
      <c r="Y147" s="12">
        <v>0</v>
      </c>
      <c r="Z147" s="35"/>
      <c r="AA147" s="12">
        <v>0</v>
      </c>
      <c r="AB147" s="37"/>
      <c r="AC147" s="12">
        <f t="shared" si="2"/>
        <v>971012.1399999998</v>
      </c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</row>
    <row r="148" spans="1:29" s="11" customFormat="1" ht="12">
      <c r="A148" s="11" t="s">
        <v>105</v>
      </c>
      <c r="C148" s="11" t="s">
        <v>106</v>
      </c>
      <c r="E148" s="12">
        <f>1009341+723467</f>
        <v>1732808</v>
      </c>
      <c r="G148" s="12">
        <v>0</v>
      </c>
      <c r="I148" s="12">
        <f>179578+88428+600147</f>
        <v>868153</v>
      </c>
      <c r="K148" s="12">
        <v>0</v>
      </c>
      <c r="M148" s="12">
        <v>0</v>
      </c>
      <c r="O148" s="12">
        <v>0</v>
      </c>
      <c r="Q148" s="12">
        <v>298010</v>
      </c>
      <c r="S148" s="12">
        <v>92627</v>
      </c>
      <c r="U148" s="12">
        <v>21704</v>
      </c>
      <c r="W148" s="12">
        <v>114331</v>
      </c>
      <c r="Y148" s="12">
        <v>0</v>
      </c>
      <c r="AA148" s="12">
        <v>0</v>
      </c>
      <c r="AC148" s="12">
        <f t="shared" si="2"/>
        <v>3127633</v>
      </c>
    </row>
    <row r="149" spans="1:29" s="11" customFormat="1" ht="12">
      <c r="A149" s="11" t="s">
        <v>317</v>
      </c>
      <c r="C149" s="11" t="s">
        <v>143</v>
      </c>
      <c r="E149" s="12">
        <v>481682</v>
      </c>
      <c r="G149" s="12">
        <v>185948</v>
      </c>
      <c r="I149" s="12">
        <f>139507+8477</f>
        <v>147984</v>
      </c>
      <c r="K149" s="12">
        <f>84093+168</f>
        <v>84261</v>
      </c>
      <c r="M149" s="12">
        <v>23160</v>
      </c>
      <c r="O149" s="12">
        <v>222</v>
      </c>
      <c r="Q149" s="12">
        <f>58870+1095</f>
        <v>59965</v>
      </c>
      <c r="S149" s="12">
        <v>0</v>
      </c>
      <c r="U149" s="12">
        <v>0</v>
      </c>
      <c r="W149" s="12">
        <v>100000</v>
      </c>
      <c r="Y149" s="12">
        <v>0</v>
      </c>
      <c r="AA149" s="12">
        <v>0</v>
      </c>
      <c r="AC149" s="12">
        <f t="shared" si="2"/>
        <v>1083222</v>
      </c>
    </row>
    <row r="150" spans="1:29" s="11" customFormat="1" ht="12">
      <c r="A150" s="11" t="s">
        <v>318</v>
      </c>
      <c r="C150" s="11" t="s">
        <v>101</v>
      </c>
      <c r="E150" s="12">
        <f>2340360+1586490</f>
        <v>3926850</v>
      </c>
      <c r="G150" s="12">
        <v>0</v>
      </c>
      <c r="I150" s="12">
        <v>0</v>
      </c>
      <c r="K150" s="12">
        <f>722841+91267+736986+272639</f>
        <v>1823733</v>
      </c>
      <c r="M150" s="12">
        <v>0</v>
      </c>
      <c r="O150" s="12">
        <v>0</v>
      </c>
      <c r="Q150" s="12">
        <v>0</v>
      </c>
      <c r="S150" s="12">
        <v>0</v>
      </c>
      <c r="U150" s="12">
        <v>0</v>
      </c>
      <c r="W150" s="12">
        <v>250000</v>
      </c>
      <c r="Y150" s="12">
        <v>0</v>
      </c>
      <c r="AA150" s="12">
        <v>0</v>
      </c>
      <c r="AC150" s="12">
        <f t="shared" si="2"/>
        <v>6000583</v>
      </c>
    </row>
    <row r="151" spans="1:29" s="11" customFormat="1" ht="12">
      <c r="A151" s="11" t="s">
        <v>319</v>
      </c>
      <c r="C151" s="11" t="s">
        <v>278</v>
      </c>
      <c r="E151" s="12">
        <v>333030.99</v>
      </c>
      <c r="F151" s="12"/>
      <c r="G151" s="12">
        <v>54863.09</v>
      </c>
      <c r="H151" s="12"/>
      <c r="I151" s="12">
        <v>78318.97</v>
      </c>
      <c r="J151" s="12"/>
      <c r="K151" s="12">
        <v>116414.49</v>
      </c>
      <c r="L151" s="12"/>
      <c r="M151" s="12">
        <v>10771.38</v>
      </c>
      <c r="N151" s="12"/>
      <c r="O151" s="12">
        <v>7206.5</v>
      </c>
      <c r="P151" s="12"/>
      <c r="Q151" s="12">
        <v>35311.19</v>
      </c>
      <c r="R151" s="12"/>
      <c r="S151" s="12">
        <v>0</v>
      </c>
      <c r="T151" s="12"/>
      <c r="U151" s="12">
        <v>0</v>
      </c>
      <c r="V151" s="12"/>
      <c r="W151" s="12">
        <v>0</v>
      </c>
      <c r="X151" s="12"/>
      <c r="Y151" s="12">
        <v>0</v>
      </c>
      <c r="Z151" s="12"/>
      <c r="AA151" s="12">
        <v>0</v>
      </c>
      <c r="AC151" s="12">
        <f t="shared" si="2"/>
        <v>635916.6099999999</v>
      </c>
    </row>
    <row r="152" spans="1:29" s="11" customFormat="1" ht="12">
      <c r="A152" s="11" t="s">
        <v>320</v>
      </c>
      <c r="C152" s="11" t="s">
        <v>146</v>
      </c>
      <c r="E152" s="12">
        <v>235462.57</v>
      </c>
      <c r="F152" s="12"/>
      <c r="G152" s="12">
        <v>61879.12</v>
      </c>
      <c r="H152" s="12"/>
      <c r="I152" s="12">
        <v>64221.37</v>
      </c>
      <c r="J152" s="12"/>
      <c r="K152" s="12">
        <v>72630.09</v>
      </c>
      <c r="L152" s="12"/>
      <c r="M152" s="12">
        <v>5138.35</v>
      </c>
      <c r="N152" s="12"/>
      <c r="O152" s="12">
        <v>12260</v>
      </c>
      <c r="P152" s="12"/>
      <c r="Q152" s="12">
        <v>12210.63</v>
      </c>
      <c r="R152" s="12"/>
      <c r="S152" s="12">
        <v>0</v>
      </c>
      <c r="T152" s="12"/>
      <c r="U152" s="12">
        <v>0</v>
      </c>
      <c r="V152" s="12"/>
      <c r="W152" s="12">
        <v>0</v>
      </c>
      <c r="X152" s="12"/>
      <c r="Y152" s="12">
        <v>0</v>
      </c>
      <c r="Z152" s="12"/>
      <c r="AA152" s="12">
        <v>0</v>
      </c>
      <c r="AC152" s="12">
        <f t="shared" si="2"/>
        <v>463802.13</v>
      </c>
    </row>
    <row r="153" spans="1:29" s="11" customFormat="1" ht="12">
      <c r="A153" s="11" t="s">
        <v>321</v>
      </c>
      <c r="C153" s="11" t="s">
        <v>116</v>
      </c>
      <c r="E153" s="12">
        <v>443134.88</v>
      </c>
      <c r="F153" s="12"/>
      <c r="G153" s="12">
        <v>142469.85</v>
      </c>
      <c r="H153" s="12"/>
      <c r="I153" s="12">
        <v>91849.7</v>
      </c>
      <c r="J153" s="12"/>
      <c r="K153" s="12">
        <v>125226.09</v>
      </c>
      <c r="L153" s="12"/>
      <c r="M153" s="12">
        <v>9257.47</v>
      </c>
      <c r="N153" s="12"/>
      <c r="O153" s="12">
        <v>21905.27</v>
      </c>
      <c r="P153" s="12"/>
      <c r="Q153" s="12">
        <v>17.63</v>
      </c>
      <c r="R153" s="12"/>
      <c r="S153" s="12">
        <v>0</v>
      </c>
      <c r="T153" s="12"/>
      <c r="U153" s="12">
        <v>0</v>
      </c>
      <c r="V153" s="12"/>
      <c r="W153" s="12">
        <v>0</v>
      </c>
      <c r="X153" s="12"/>
      <c r="Y153" s="12">
        <v>0</v>
      </c>
      <c r="Z153" s="12"/>
      <c r="AA153" s="12">
        <v>0</v>
      </c>
      <c r="AC153" s="12">
        <f t="shared" si="2"/>
        <v>833860.8899999999</v>
      </c>
    </row>
    <row r="154" spans="1:29" s="11" customFormat="1" ht="12">
      <c r="A154" s="11" t="s">
        <v>464</v>
      </c>
      <c r="C154" s="11" t="s">
        <v>156</v>
      </c>
      <c r="E154" s="12">
        <v>118640.93</v>
      </c>
      <c r="F154" s="12"/>
      <c r="G154" s="12">
        <v>17723.21</v>
      </c>
      <c r="H154" s="12"/>
      <c r="I154" s="12">
        <v>37422.96</v>
      </c>
      <c r="J154" s="12"/>
      <c r="K154" s="12">
        <v>74546.93</v>
      </c>
      <c r="L154" s="12"/>
      <c r="M154" s="12">
        <v>11736.63</v>
      </c>
      <c r="N154" s="12"/>
      <c r="O154" s="12">
        <v>6889.4</v>
      </c>
      <c r="P154" s="12"/>
      <c r="Q154" s="12">
        <v>27530.09</v>
      </c>
      <c r="R154" s="12"/>
      <c r="S154" s="12">
        <v>0</v>
      </c>
      <c r="T154" s="12"/>
      <c r="U154" s="12">
        <v>0</v>
      </c>
      <c r="V154" s="12"/>
      <c r="W154" s="12">
        <v>1986.18</v>
      </c>
      <c r="X154" s="12"/>
      <c r="Y154" s="12">
        <v>0</v>
      </c>
      <c r="Z154" s="12"/>
      <c r="AA154" s="12">
        <v>0</v>
      </c>
      <c r="AC154" s="12">
        <f t="shared" si="2"/>
        <v>296476.33</v>
      </c>
    </row>
    <row r="155" spans="1:29" s="11" customFormat="1" ht="12">
      <c r="A155" s="11" t="s">
        <v>323</v>
      </c>
      <c r="C155" s="11" t="s">
        <v>117</v>
      </c>
      <c r="E155" s="12">
        <v>26959</v>
      </c>
      <c r="G155" s="12">
        <v>40894</v>
      </c>
      <c r="I155" s="12">
        <v>102807</v>
      </c>
      <c r="K155" s="12">
        <v>0</v>
      </c>
      <c r="M155" s="12">
        <v>1049</v>
      </c>
      <c r="O155" s="12">
        <v>17340</v>
      </c>
      <c r="Q155" s="12">
        <v>0</v>
      </c>
      <c r="S155" s="12">
        <v>0</v>
      </c>
      <c r="U155" s="12">
        <v>0</v>
      </c>
      <c r="W155" s="12">
        <v>0</v>
      </c>
      <c r="Y155" s="12">
        <v>33786</v>
      </c>
      <c r="AA155" s="12">
        <v>0</v>
      </c>
      <c r="AC155" s="12">
        <f t="shared" si="2"/>
        <v>222835</v>
      </c>
    </row>
    <row r="156" spans="1:29" s="11" customFormat="1" ht="12">
      <c r="A156" s="11" t="s">
        <v>498</v>
      </c>
      <c r="C156" s="11" t="s">
        <v>157</v>
      </c>
      <c r="E156" s="12">
        <v>0</v>
      </c>
      <c r="F156" s="12"/>
      <c r="G156" s="12">
        <v>0</v>
      </c>
      <c r="H156" s="12"/>
      <c r="I156" s="12">
        <f>16669+1266</f>
        <v>17935</v>
      </c>
      <c r="J156" s="12"/>
      <c r="K156" s="12">
        <v>0</v>
      </c>
      <c r="L156" s="12"/>
      <c r="M156" s="12">
        <v>0</v>
      </c>
      <c r="N156" s="12"/>
      <c r="O156" s="12">
        <v>554</v>
      </c>
      <c r="P156" s="12"/>
      <c r="Q156" s="12">
        <v>0</v>
      </c>
      <c r="R156" s="12"/>
      <c r="S156" s="12">
        <v>0</v>
      </c>
      <c r="T156" s="12"/>
      <c r="U156" s="12">
        <v>0</v>
      </c>
      <c r="V156" s="12"/>
      <c r="W156" s="12">
        <v>0</v>
      </c>
      <c r="X156" s="12"/>
      <c r="Y156" s="12">
        <v>0</v>
      </c>
      <c r="Z156" s="12"/>
      <c r="AA156" s="12">
        <v>0</v>
      </c>
      <c r="AC156" s="12">
        <f t="shared" si="2"/>
        <v>18489</v>
      </c>
    </row>
    <row r="157" spans="1:29" s="11" customFormat="1" ht="12">
      <c r="A157" s="11" t="s">
        <v>325</v>
      </c>
      <c r="C157" s="11" t="s">
        <v>185</v>
      </c>
      <c r="E157" s="12">
        <v>74545</v>
      </c>
      <c r="G157" s="12">
        <v>10956</v>
      </c>
      <c r="I157" s="12">
        <v>31510</v>
      </c>
      <c r="K157" s="12">
        <v>17217</v>
      </c>
      <c r="M157" s="12">
        <v>3827</v>
      </c>
      <c r="O157" s="12">
        <v>305</v>
      </c>
      <c r="Q157" s="12">
        <v>4166</v>
      </c>
      <c r="S157" s="12">
        <v>0</v>
      </c>
      <c r="U157" s="12">
        <v>0</v>
      </c>
      <c r="W157" s="12">
        <v>0</v>
      </c>
      <c r="Y157" s="12">
        <v>0</v>
      </c>
      <c r="AA157" s="12">
        <v>0</v>
      </c>
      <c r="AC157" s="12">
        <f t="shared" si="2"/>
        <v>142526</v>
      </c>
    </row>
    <row r="158" spans="1:29" s="11" customFormat="1" ht="12">
      <c r="A158" s="11" t="s">
        <v>326</v>
      </c>
      <c r="C158" s="11" t="s">
        <v>327</v>
      </c>
      <c r="E158" s="12">
        <v>113058</v>
      </c>
      <c r="G158" s="12">
        <v>17834</v>
      </c>
      <c r="I158" s="12">
        <v>53023</v>
      </c>
      <c r="K158" s="12">
        <f>43654+136</f>
        <v>43790</v>
      </c>
      <c r="M158" s="12">
        <v>8539</v>
      </c>
      <c r="O158" s="12">
        <v>3765</v>
      </c>
      <c r="Q158" s="12">
        <v>33658</v>
      </c>
      <c r="S158" s="12">
        <v>0</v>
      </c>
      <c r="U158" s="12">
        <v>0</v>
      </c>
      <c r="W158" s="12">
        <v>0</v>
      </c>
      <c r="Y158" s="12">
        <v>0</v>
      </c>
      <c r="AA158" s="12">
        <v>0</v>
      </c>
      <c r="AC158" s="12">
        <f t="shared" si="2"/>
        <v>273667</v>
      </c>
    </row>
    <row r="159" spans="1:29" s="11" customFormat="1" ht="12">
      <c r="A159" s="11" t="s">
        <v>328</v>
      </c>
      <c r="C159" s="11" t="s">
        <v>106</v>
      </c>
      <c r="E159" s="12">
        <v>1191092</v>
      </c>
      <c r="G159" s="12">
        <v>404122</v>
      </c>
      <c r="I159" s="12">
        <v>344464</v>
      </c>
      <c r="K159" s="12">
        <v>474380</v>
      </c>
      <c r="M159" s="12">
        <v>49143</v>
      </c>
      <c r="O159" s="12">
        <v>9445</v>
      </c>
      <c r="Q159" s="12">
        <v>211712</v>
      </c>
      <c r="S159" s="12">
        <v>435000</v>
      </c>
      <c r="U159" s="12">
        <v>211712</v>
      </c>
      <c r="W159" s="12">
        <v>1000000</v>
      </c>
      <c r="Y159" s="12">
        <v>0</v>
      </c>
      <c r="AA159" s="12">
        <v>0</v>
      </c>
      <c r="AC159" s="12">
        <f t="shared" si="2"/>
        <v>4331070</v>
      </c>
    </row>
    <row r="160" spans="1:29" s="11" customFormat="1" ht="12">
      <c r="A160" s="11" t="s">
        <v>329</v>
      </c>
      <c r="C160" s="11" t="s">
        <v>161</v>
      </c>
      <c r="E160" s="12">
        <v>200626</v>
      </c>
      <c r="G160" s="12">
        <v>32657</v>
      </c>
      <c r="I160" s="12">
        <v>86282</v>
      </c>
      <c r="K160" s="12">
        <v>46001</v>
      </c>
      <c r="M160" s="12">
        <v>7916</v>
      </c>
      <c r="O160" s="12">
        <v>10471</v>
      </c>
      <c r="Q160" s="12">
        <f>11094+1242</f>
        <v>12336</v>
      </c>
      <c r="S160" s="12">
        <v>0</v>
      </c>
      <c r="U160" s="12">
        <v>0</v>
      </c>
      <c r="W160" s="12">
        <v>0</v>
      </c>
      <c r="Y160" s="12">
        <v>0</v>
      </c>
      <c r="AA160" s="12">
        <v>0</v>
      </c>
      <c r="AC160" s="12">
        <f t="shared" si="2"/>
        <v>396289</v>
      </c>
    </row>
    <row r="161" spans="1:29" s="11" customFormat="1" ht="12">
      <c r="A161" s="11" t="s">
        <v>330</v>
      </c>
      <c r="C161" s="11" t="s">
        <v>103</v>
      </c>
      <c r="E161" s="12">
        <v>133761.5</v>
      </c>
      <c r="F161" s="12"/>
      <c r="G161" s="12">
        <v>26972.8</v>
      </c>
      <c r="H161" s="12"/>
      <c r="I161" s="12">
        <v>50122.38</v>
      </c>
      <c r="J161" s="12"/>
      <c r="K161" s="12">
        <v>46510.88</v>
      </c>
      <c r="L161" s="12"/>
      <c r="M161" s="12">
        <v>3807.27</v>
      </c>
      <c r="N161" s="12"/>
      <c r="O161" s="12">
        <v>5701.55</v>
      </c>
      <c r="P161" s="12"/>
      <c r="Q161" s="12">
        <v>84705.44</v>
      </c>
      <c r="R161" s="12"/>
      <c r="S161" s="12">
        <v>0</v>
      </c>
      <c r="T161" s="12"/>
      <c r="U161" s="12">
        <v>228.5</v>
      </c>
      <c r="V161" s="12"/>
      <c r="W161" s="12">
        <v>0</v>
      </c>
      <c r="X161" s="12"/>
      <c r="Y161" s="12">
        <v>34000</v>
      </c>
      <c r="Z161" s="12"/>
      <c r="AA161" s="12">
        <v>101.1</v>
      </c>
      <c r="AC161" s="12">
        <f t="shared" si="2"/>
        <v>385911.42</v>
      </c>
    </row>
    <row r="162" spans="1:29" s="11" customFormat="1" ht="12">
      <c r="A162" s="11" t="s">
        <v>601</v>
      </c>
      <c r="C162" s="11" t="s">
        <v>107</v>
      </c>
      <c r="E162" s="12">
        <v>0</v>
      </c>
      <c r="F162" s="12"/>
      <c r="G162" s="12">
        <v>0</v>
      </c>
      <c r="H162" s="12"/>
      <c r="I162" s="12">
        <v>1874484</v>
      </c>
      <c r="J162" s="12"/>
      <c r="K162" s="12">
        <v>0</v>
      </c>
      <c r="L162" s="12"/>
      <c r="M162" s="12">
        <v>0</v>
      </c>
      <c r="N162" s="12"/>
      <c r="O162" s="12">
        <v>0</v>
      </c>
      <c r="P162" s="12"/>
      <c r="Q162" s="12">
        <v>28069</v>
      </c>
      <c r="R162" s="12"/>
      <c r="S162" s="12">
        <v>0</v>
      </c>
      <c r="T162" s="12"/>
      <c r="U162" s="12">
        <v>232745</v>
      </c>
      <c r="V162" s="12"/>
      <c r="W162" s="12">
        <v>0</v>
      </c>
      <c r="X162" s="12"/>
      <c r="Y162" s="12">
        <v>0</v>
      </c>
      <c r="Z162" s="12"/>
      <c r="AA162" s="12">
        <v>0</v>
      </c>
      <c r="AC162" s="12">
        <f>SUM(E162:AA162)</f>
        <v>2135298</v>
      </c>
    </row>
    <row r="163" spans="1:29" s="11" customFormat="1" ht="12">
      <c r="A163" s="11" t="s">
        <v>331</v>
      </c>
      <c r="C163" s="11" t="s">
        <v>332</v>
      </c>
      <c r="E163" s="12">
        <v>0</v>
      </c>
      <c r="G163" s="12">
        <v>0</v>
      </c>
      <c r="I163" s="12">
        <f>2101312+471965</f>
        <v>2573277</v>
      </c>
      <c r="K163" s="12">
        <v>616505</v>
      </c>
      <c r="M163" s="12">
        <v>0</v>
      </c>
      <c r="O163" s="12">
        <v>0</v>
      </c>
      <c r="Q163" s="12">
        <v>325015</v>
      </c>
      <c r="S163" s="12">
        <v>0</v>
      </c>
      <c r="U163" s="12">
        <v>0</v>
      </c>
      <c r="W163" s="12">
        <v>516805</v>
      </c>
      <c r="Y163" s="12">
        <v>0</v>
      </c>
      <c r="AA163" s="12">
        <v>0</v>
      </c>
      <c r="AC163" s="12">
        <f t="shared" si="2"/>
        <v>4031602</v>
      </c>
    </row>
    <row r="164" spans="1:29" s="11" customFormat="1" ht="12">
      <c r="A164" s="11" t="s">
        <v>489</v>
      </c>
      <c r="C164" s="11" t="s">
        <v>153</v>
      </c>
      <c r="E164" s="12">
        <v>406269</v>
      </c>
      <c r="F164" s="12"/>
      <c r="G164" s="12">
        <v>120629</v>
      </c>
      <c r="H164" s="12"/>
      <c r="I164" s="12">
        <v>87674</v>
      </c>
      <c r="J164" s="12"/>
      <c r="K164" s="12">
        <v>123526</v>
      </c>
      <c r="L164" s="12"/>
      <c r="M164" s="12">
        <v>15710</v>
      </c>
      <c r="N164" s="12"/>
      <c r="O164" s="12">
        <v>8016</v>
      </c>
      <c r="P164" s="12"/>
      <c r="Q164" s="12">
        <f>14534+71826</f>
        <v>86360</v>
      </c>
      <c r="R164" s="12"/>
      <c r="S164" s="12">
        <v>0</v>
      </c>
      <c r="T164" s="12"/>
      <c r="U164" s="12">
        <v>0</v>
      </c>
      <c r="V164" s="12"/>
      <c r="W164" s="12">
        <v>100000</v>
      </c>
      <c r="X164" s="12"/>
      <c r="Y164" s="12">
        <v>0</v>
      </c>
      <c r="Z164" s="12"/>
      <c r="AA164" s="12">
        <v>0</v>
      </c>
      <c r="AC164" s="12">
        <f aca="true" t="shared" si="3" ref="AC164:AC198">SUM(E164:AA164)</f>
        <v>948184</v>
      </c>
    </row>
    <row r="165" spans="1:29" s="11" customFormat="1" ht="12">
      <c r="A165" s="11" t="s">
        <v>333</v>
      </c>
      <c r="C165" s="11" t="s">
        <v>334</v>
      </c>
      <c r="E165" s="12">
        <v>834696</v>
      </c>
      <c r="F165" s="12"/>
      <c r="G165" s="12">
        <v>0</v>
      </c>
      <c r="H165" s="12"/>
      <c r="I165" s="12">
        <v>263333</v>
      </c>
      <c r="J165" s="12"/>
      <c r="K165" s="12">
        <v>209751</v>
      </c>
      <c r="L165" s="12"/>
      <c r="M165" s="12">
        <v>10304</v>
      </c>
      <c r="N165" s="12"/>
      <c r="O165" s="12">
        <v>435786</v>
      </c>
      <c r="P165" s="12"/>
      <c r="Q165" s="12">
        <v>78987</v>
      </c>
      <c r="R165" s="12"/>
      <c r="S165" s="12">
        <v>0</v>
      </c>
      <c r="T165" s="12"/>
      <c r="U165" s="12">
        <v>0</v>
      </c>
      <c r="V165" s="12"/>
      <c r="W165" s="12">
        <v>0</v>
      </c>
      <c r="X165" s="12"/>
      <c r="Y165" s="12">
        <v>0</v>
      </c>
      <c r="Z165" s="12"/>
      <c r="AA165" s="12">
        <v>0</v>
      </c>
      <c r="AC165" s="12">
        <f t="shared" si="3"/>
        <v>1832857</v>
      </c>
    </row>
    <row r="166" spans="1:29" s="11" customFormat="1" ht="12">
      <c r="A166" s="11" t="s">
        <v>499</v>
      </c>
      <c r="C166" s="11" t="s">
        <v>215</v>
      </c>
      <c r="E166" s="12">
        <v>420290</v>
      </c>
      <c r="F166" s="12"/>
      <c r="G166" s="12">
        <v>771</v>
      </c>
      <c r="H166" s="12"/>
      <c r="I166" s="12">
        <v>81839</v>
      </c>
      <c r="J166" s="12"/>
      <c r="K166" s="12">
        <v>111317</v>
      </c>
      <c r="L166" s="12"/>
      <c r="M166" s="12">
        <v>29427</v>
      </c>
      <c r="N166" s="12"/>
      <c r="O166" s="12">
        <v>4175</v>
      </c>
      <c r="P166" s="12"/>
      <c r="Q166" s="12">
        <v>18891</v>
      </c>
      <c r="R166" s="12"/>
      <c r="S166" s="12">
        <v>0</v>
      </c>
      <c r="T166" s="12"/>
      <c r="U166" s="12">
        <v>0</v>
      </c>
      <c r="V166" s="12"/>
      <c r="W166" s="12">
        <v>0</v>
      </c>
      <c r="X166" s="12"/>
      <c r="Y166" s="12">
        <v>0</v>
      </c>
      <c r="Z166" s="12"/>
      <c r="AA166" s="12">
        <v>0</v>
      </c>
      <c r="AC166" s="12">
        <f t="shared" si="3"/>
        <v>666710</v>
      </c>
    </row>
    <row r="167" spans="1:29" s="11" customFormat="1" ht="12">
      <c r="A167" s="11" t="s">
        <v>500</v>
      </c>
      <c r="C167" s="11" t="s">
        <v>185</v>
      </c>
      <c r="E167" s="12">
        <v>164232</v>
      </c>
      <c r="F167" s="12"/>
      <c r="G167" s="12">
        <v>0</v>
      </c>
      <c r="H167" s="12"/>
      <c r="I167" s="12">
        <v>51150</v>
      </c>
      <c r="J167" s="12"/>
      <c r="K167" s="12">
        <v>38780</v>
      </c>
      <c r="L167" s="12"/>
      <c r="M167" s="12">
        <v>9364</v>
      </c>
      <c r="N167" s="12"/>
      <c r="O167" s="12">
        <v>3974</v>
      </c>
      <c r="P167" s="12"/>
      <c r="Q167" s="12">
        <v>15397</v>
      </c>
      <c r="R167" s="12"/>
      <c r="S167" s="12">
        <v>0</v>
      </c>
      <c r="T167" s="12"/>
      <c r="U167" s="12">
        <v>0</v>
      </c>
      <c r="V167" s="12"/>
      <c r="W167" s="12">
        <v>0</v>
      </c>
      <c r="X167" s="12"/>
      <c r="Y167" s="12">
        <v>0</v>
      </c>
      <c r="Z167" s="12"/>
      <c r="AA167" s="12">
        <v>0</v>
      </c>
      <c r="AC167" s="12">
        <f t="shared" si="3"/>
        <v>282897</v>
      </c>
    </row>
    <row r="168" spans="1:29" s="11" customFormat="1" ht="12">
      <c r="A168" s="11" t="s">
        <v>337</v>
      </c>
      <c r="C168" s="11" t="s">
        <v>174</v>
      </c>
      <c r="E168" s="12">
        <v>176000.41</v>
      </c>
      <c r="F168" s="12"/>
      <c r="G168" s="12">
        <v>39827.7</v>
      </c>
      <c r="H168" s="12"/>
      <c r="I168" s="12">
        <v>64394.07</v>
      </c>
      <c r="J168" s="12"/>
      <c r="K168" s="12">
        <v>43995.42</v>
      </c>
      <c r="L168" s="12"/>
      <c r="M168" s="12">
        <v>5920.75</v>
      </c>
      <c r="N168" s="12"/>
      <c r="O168" s="12">
        <v>1242.03</v>
      </c>
      <c r="P168" s="12"/>
      <c r="Q168" s="12">
        <v>11407.61</v>
      </c>
      <c r="R168" s="12"/>
      <c r="S168" s="12">
        <v>0</v>
      </c>
      <c r="T168" s="12"/>
      <c r="U168" s="12">
        <v>0</v>
      </c>
      <c r="V168" s="12"/>
      <c r="W168" s="12">
        <v>0</v>
      </c>
      <c r="X168" s="12"/>
      <c r="Y168" s="12">
        <v>0</v>
      </c>
      <c r="Z168" s="12"/>
      <c r="AA168" s="12">
        <v>0</v>
      </c>
      <c r="AC168" s="12">
        <f t="shared" si="3"/>
        <v>342787.99</v>
      </c>
    </row>
    <row r="169" spans="1:29" s="11" customFormat="1" ht="12">
      <c r="A169" s="11" t="s">
        <v>338</v>
      </c>
      <c r="C169" s="11" t="s">
        <v>159</v>
      </c>
      <c r="E169" s="12">
        <v>60929.25</v>
      </c>
      <c r="F169" s="12"/>
      <c r="G169" s="12">
        <v>9589.21</v>
      </c>
      <c r="H169" s="12"/>
      <c r="I169" s="12">
        <v>30892.67</v>
      </c>
      <c r="J169" s="12"/>
      <c r="K169" s="12">
        <v>25541.78</v>
      </c>
      <c r="L169" s="12"/>
      <c r="M169" s="12">
        <v>3529.04</v>
      </c>
      <c r="N169" s="12"/>
      <c r="O169" s="12">
        <v>567.82</v>
      </c>
      <c r="P169" s="12"/>
      <c r="Q169" s="12">
        <v>12158.12</v>
      </c>
      <c r="R169" s="12"/>
      <c r="S169" s="12">
        <v>0</v>
      </c>
      <c r="T169" s="12"/>
      <c r="U169" s="12">
        <v>0</v>
      </c>
      <c r="V169" s="12"/>
      <c r="W169" s="12">
        <v>0</v>
      </c>
      <c r="X169" s="12"/>
      <c r="Y169" s="12">
        <v>0</v>
      </c>
      <c r="Z169" s="12"/>
      <c r="AA169" s="12">
        <v>0</v>
      </c>
      <c r="AC169" s="12">
        <f t="shared" si="3"/>
        <v>143207.88999999998</v>
      </c>
    </row>
    <row r="170" spans="1:29" s="11" customFormat="1" ht="12">
      <c r="A170" s="11" t="s">
        <v>501</v>
      </c>
      <c r="C170" s="11" t="s">
        <v>134</v>
      </c>
      <c r="E170" s="12">
        <v>2418595</v>
      </c>
      <c r="F170" s="12"/>
      <c r="G170" s="12">
        <v>649106</v>
      </c>
      <c r="H170" s="12"/>
      <c r="I170" s="12">
        <v>620649</v>
      </c>
      <c r="J170" s="12"/>
      <c r="K170" s="12">
        <v>592760</v>
      </c>
      <c r="L170" s="12"/>
      <c r="M170" s="12">
        <v>105374</v>
      </c>
      <c r="N170" s="12"/>
      <c r="O170" s="12">
        <v>19007</v>
      </c>
      <c r="P170" s="12"/>
      <c r="Q170" s="12">
        <f>299668+75000</f>
        <v>374668</v>
      </c>
      <c r="R170" s="12"/>
      <c r="S170" s="12">
        <v>0</v>
      </c>
      <c r="T170" s="12"/>
      <c r="U170" s="12">
        <v>0</v>
      </c>
      <c r="V170" s="12"/>
      <c r="W170" s="12">
        <v>1075000</v>
      </c>
      <c r="X170" s="12"/>
      <c r="Y170" s="12">
        <v>0</v>
      </c>
      <c r="Z170" s="12"/>
      <c r="AA170" s="12">
        <v>0</v>
      </c>
      <c r="AC170" s="12">
        <f t="shared" si="3"/>
        <v>5855159</v>
      </c>
    </row>
    <row r="171" spans="1:29" s="11" customFormat="1" ht="12">
      <c r="A171" s="11" t="s">
        <v>340</v>
      </c>
      <c r="C171" s="11" t="s">
        <v>117</v>
      </c>
      <c r="E171" s="12">
        <v>153287.57</v>
      </c>
      <c r="F171" s="12"/>
      <c r="G171" s="12">
        <v>42845.03</v>
      </c>
      <c r="H171" s="12"/>
      <c r="I171" s="12">
        <v>53831.82</v>
      </c>
      <c r="J171" s="12"/>
      <c r="K171" s="12">
        <v>50459.14</v>
      </c>
      <c r="L171" s="12"/>
      <c r="M171" s="12">
        <v>9162.55</v>
      </c>
      <c r="N171" s="12"/>
      <c r="O171" s="12">
        <v>7127.91</v>
      </c>
      <c r="P171" s="12"/>
      <c r="Q171" s="12">
        <v>17963.79</v>
      </c>
      <c r="R171" s="12"/>
      <c r="S171" s="12">
        <v>9600</v>
      </c>
      <c r="T171" s="12"/>
      <c r="U171" s="12">
        <v>14644.25</v>
      </c>
      <c r="V171" s="12"/>
      <c r="W171" s="12">
        <v>49906.72</v>
      </c>
      <c r="X171" s="12"/>
      <c r="Y171" s="12">
        <v>0</v>
      </c>
      <c r="Z171" s="12"/>
      <c r="AA171" s="12">
        <v>0</v>
      </c>
      <c r="AC171" s="12">
        <f t="shared" si="3"/>
        <v>408828.7799999999</v>
      </c>
    </row>
    <row r="172" spans="1:29" s="11" customFormat="1" ht="12">
      <c r="A172" s="11" t="s">
        <v>341</v>
      </c>
      <c r="C172" s="11" t="s">
        <v>149</v>
      </c>
      <c r="E172" s="12">
        <v>379714</v>
      </c>
      <c r="F172" s="12"/>
      <c r="G172" s="12">
        <v>156288</v>
      </c>
      <c r="H172" s="12"/>
      <c r="I172" s="12">
        <v>77902</v>
      </c>
      <c r="J172" s="12"/>
      <c r="K172" s="12">
        <v>66111</v>
      </c>
      <c r="L172" s="12"/>
      <c r="M172" s="12">
        <v>17063</v>
      </c>
      <c r="N172" s="12"/>
      <c r="O172" s="12">
        <v>3574</v>
      </c>
      <c r="P172" s="12"/>
      <c r="Q172" s="12">
        <v>9238</v>
      </c>
      <c r="R172" s="12"/>
      <c r="S172" s="12">
        <v>0</v>
      </c>
      <c r="T172" s="12"/>
      <c r="U172" s="12">
        <v>0</v>
      </c>
      <c r="V172" s="12"/>
      <c r="W172" s="12">
        <v>0</v>
      </c>
      <c r="X172" s="12"/>
      <c r="Y172" s="12">
        <v>0</v>
      </c>
      <c r="Z172" s="12"/>
      <c r="AA172" s="12">
        <v>0</v>
      </c>
      <c r="AC172" s="12">
        <f t="shared" si="3"/>
        <v>709890</v>
      </c>
    </row>
    <row r="173" spans="1:29" s="11" customFormat="1" ht="12">
      <c r="A173" s="11" t="s">
        <v>342</v>
      </c>
      <c r="C173" s="11" t="s">
        <v>343</v>
      </c>
      <c r="E173" s="12">
        <f>245031+27833+11080+235124+31805+13834</f>
        <v>564707</v>
      </c>
      <c r="F173" s="12"/>
      <c r="G173" s="12">
        <v>0</v>
      </c>
      <c r="H173" s="12"/>
      <c r="I173" s="12">
        <f>17810+531+2289+2739+54902+18857+98619+140164+284376+1772+32660</f>
        <v>654719</v>
      </c>
      <c r="J173" s="12"/>
      <c r="K173" s="12">
        <f>10020+1259+20542+970+864+16325</f>
        <v>49980</v>
      </c>
      <c r="L173" s="12"/>
      <c r="M173" s="12">
        <f>4351+17641</f>
        <v>21992</v>
      </c>
      <c r="N173" s="12"/>
      <c r="O173" s="12">
        <v>2099</v>
      </c>
      <c r="P173" s="12"/>
      <c r="Q173" s="12">
        <f>17760+14522+19733</f>
        <v>52015</v>
      </c>
      <c r="R173" s="12"/>
      <c r="S173" s="12">
        <v>0</v>
      </c>
      <c r="T173" s="12"/>
      <c r="U173" s="12">
        <v>0</v>
      </c>
      <c r="V173" s="12"/>
      <c r="W173" s="12">
        <v>64510</v>
      </c>
      <c r="X173" s="12"/>
      <c r="Y173" s="12">
        <v>0</v>
      </c>
      <c r="Z173" s="12"/>
      <c r="AA173" s="12">
        <v>0</v>
      </c>
      <c r="AC173" s="12">
        <f t="shared" si="3"/>
        <v>1410022</v>
      </c>
    </row>
    <row r="174" spans="1:29" s="11" customFormat="1" ht="12">
      <c r="A174" s="11" t="s">
        <v>344</v>
      </c>
      <c r="C174" s="11" t="s">
        <v>135</v>
      </c>
      <c r="E174" s="12">
        <v>94129.74</v>
      </c>
      <c r="F174" s="12"/>
      <c r="G174" s="12">
        <v>13935.03</v>
      </c>
      <c r="H174" s="12"/>
      <c r="I174" s="12">
        <v>33106.85</v>
      </c>
      <c r="J174" s="12"/>
      <c r="K174" s="12">
        <v>23516.32</v>
      </c>
      <c r="L174" s="12"/>
      <c r="M174" s="12">
        <v>5340.81</v>
      </c>
      <c r="N174" s="12"/>
      <c r="O174" s="12">
        <v>376</v>
      </c>
      <c r="P174" s="12"/>
      <c r="Q174" s="12">
        <v>14158.13</v>
      </c>
      <c r="R174" s="12"/>
      <c r="S174" s="12">
        <v>0</v>
      </c>
      <c r="T174" s="12"/>
      <c r="U174" s="12">
        <v>0</v>
      </c>
      <c r="V174" s="12"/>
      <c r="W174" s="12">
        <v>0</v>
      </c>
      <c r="X174" s="12"/>
      <c r="Y174" s="12">
        <v>0</v>
      </c>
      <c r="Z174" s="12"/>
      <c r="AA174" s="12">
        <v>0</v>
      </c>
      <c r="AC174" s="12">
        <f t="shared" si="3"/>
        <v>184562.88</v>
      </c>
    </row>
    <row r="175" spans="1:29" s="11" customFormat="1" ht="12">
      <c r="A175" s="11" t="s">
        <v>345</v>
      </c>
      <c r="C175" s="11" t="s">
        <v>158</v>
      </c>
      <c r="E175" s="12">
        <v>241063.37</v>
      </c>
      <c r="F175" s="12"/>
      <c r="G175" s="12">
        <v>92126.27</v>
      </c>
      <c r="H175" s="12"/>
      <c r="I175" s="12">
        <v>46847.45</v>
      </c>
      <c r="J175" s="12"/>
      <c r="K175" s="12">
        <v>46816.61</v>
      </c>
      <c r="L175" s="12"/>
      <c r="M175" s="12">
        <v>9920.98</v>
      </c>
      <c r="N175" s="12"/>
      <c r="O175" s="12">
        <v>3996.31</v>
      </c>
      <c r="P175" s="12"/>
      <c r="Q175" s="12">
        <v>14018.23</v>
      </c>
      <c r="R175" s="12"/>
      <c r="S175" s="12">
        <v>0</v>
      </c>
      <c r="T175" s="12"/>
      <c r="U175" s="12">
        <v>0</v>
      </c>
      <c r="V175" s="12"/>
      <c r="W175" s="12">
        <v>0</v>
      </c>
      <c r="X175" s="12"/>
      <c r="Y175" s="12">
        <v>0</v>
      </c>
      <c r="Z175" s="12"/>
      <c r="AA175" s="12">
        <v>0</v>
      </c>
      <c r="AC175" s="12">
        <f t="shared" si="3"/>
        <v>454789.22</v>
      </c>
    </row>
    <row r="176" spans="1:29" s="11" customFormat="1" ht="12">
      <c r="A176" s="11" t="s">
        <v>346</v>
      </c>
      <c r="C176" s="11" t="s">
        <v>116</v>
      </c>
      <c r="E176" s="12">
        <v>956014</v>
      </c>
      <c r="F176" s="12"/>
      <c r="G176" s="12">
        <v>182857</v>
      </c>
      <c r="H176" s="12"/>
      <c r="I176" s="12">
        <f>190409+3030</f>
        <v>193439</v>
      </c>
      <c r="J176" s="12"/>
      <c r="K176" s="12">
        <f>306546+5371</f>
        <v>311917</v>
      </c>
      <c r="L176" s="12"/>
      <c r="M176" s="12">
        <f>55895+3069</f>
        <v>58964</v>
      </c>
      <c r="N176" s="12"/>
      <c r="O176" s="12">
        <v>12515</v>
      </c>
      <c r="P176" s="12"/>
      <c r="Q176" s="12">
        <f>962+17675</f>
        <v>18637</v>
      </c>
      <c r="R176" s="12"/>
      <c r="S176" s="12">
        <v>0</v>
      </c>
      <c r="T176" s="12"/>
      <c r="U176" s="12">
        <v>0</v>
      </c>
      <c r="V176" s="12"/>
      <c r="W176" s="12">
        <v>100000</v>
      </c>
      <c r="X176" s="12"/>
      <c r="Y176" s="12">
        <v>0</v>
      </c>
      <c r="Z176" s="12"/>
      <c r="AA176" s="12">
        <v>0</v>
      </c>
      <c r="AC176" s="12">
        <f t="shared" si="3"/>
        <v>1834343</v>
      </c>
    </row>
    <row r="177" spans="1:29" s="11" customFormat="1" ht="12">
      <c r="A177" s="11" t="s">
        <v>347</v>
      </c>
      <c r="C177" s="11" t="s">
        <v>158</v>
      </c>
      <c r="E177" s="12">
        <v>123416</v>
      </c>
      <c r="F177" s="12"/>
      <c r="G177" s="12">
        <v>35533</v>
      </c>
      <c r="H177" s="12"/>
      <c r="I177" s="12">
        <v>102516</v>
      </c>
      <c r="J177" s="12"/>
      <c r="K177" s="12">
        <v>40247</v>
      </c>
      <c r="L177" s="12"/>
      <c r="M177" s="12">
        <v>6835</v>
      </c>
      <c r="N177" s="12"/>
      <c r="O177" s="12">
        <v>1300</v>
      </c>
      <c r="P177" s="12"/>
      <c r="Q177" s="12">
        <v>14240</v>
      </c>
      <c r="R177" s="12"/>
      <c r="S177" s="12">
        <v>0</v>
      </c>
      <c r="T177" s="12"/>
      <c r="U177" s="12">
        <v>0</v>
      </c>
      <c r="V177" s="12"/>
      <c r="W177" s="12">
        <v>35353</v>
      </c>
      <c r="X177" s="12"/>
      <c r="Y177" s="12">
        <v>0</v>
      </c>
      <c r="Z177" s="12"/>
      <c r="AA177" s="12">
        <v>0</v>
      </c>
      <c r="AC177" s="12">
        <f t="shared" si="3"/>
        <v>359440</v>
      </c>
    </row>
    <row r="178" spans="1:29" s="11" customFormat="1" ht="12">
      <c r="A178" s="11" t="s">
        <v>348</v>
      </c>
      <c r="C178" s="11" t="s">
        <v>185</v>
      </c>
      <c r="E178" s="12">
        <v>520034.27</v>
      </c>
      <c r="F178" s="12"/>
      <c r="G178" s="12">
        <v>141674.05</v>
      </c>
      <c r="H178" s="12"/>
      <c r="I178" s="12">
        <v>200189.92</v>
      </c>
      <c r="J178" s="12"/>
      <c r="K178" s="12">
        <v>102115.91</v>
      </c>
      <c r="L178" s="12"/>
      <c r="M178" s="12">
        <v>18813.11</v>
      </c>
      <c r="N178" s="12"/>
      <c r="O178" s="12">
        <v>7243.22</v>
      </c>
      <c r="P178" s="12"/>
      <c r="Q178" s="12">
        <v>30737.69</v>
      </c>
      <c r="R178" s="12"/>
      <c r="S178" s="12">
        <v>25414.05</v>
      </c>
      <c r="T178" s="12"/>
      <c r="U178" s="12">
        <v>3890.43</v>
      </c>
      <c r="V178" s="12"/>
      <c r="W178" s="12">
        <v>99304.48</v>
      </c>
      <c r="X178" s="12"/>
      <c r="Y178" s="12">
        <v>0</v>
      </c>
      <c r="Z178" s="12"/>
      <c r="AA178" s="12">
        <v>0</v>
      </c>
      <c r="AC178" s="12">
        <f t="shared" si="3"/>
        <v>1149417.1300000001</v>
      </c>
    </row>
    <row r="179" spans="1:29" s="11" customFormat="1" ht="12">
      <c r="A179" s="11" t="s">
        <v>349</v>
      </c>
      <c r="C179" s="11" t="s">
        <v>266</v>
      </c>
      <c r="E179" s="12">
        <v>143070</v>
      </c>
      <c r="F179" s="12"/>
      <c r="G179" s="12">
        <v>39732</v>
      </c>
      <c r="H179" s="12"/>
      <c r="I179" s="12">
        <v>32993</v>
      </c>
      <c r="J179" s="12"/>
      <c r="K179" s="12">
        <v>64851</v>
      </c>
      <c r="L179" s="12"/>
      <c r="M179" s="12">
        <v>12398</v>
      </c>
      <c r="N179" s="12"/>
      <c r="O179" s="12">
        <v>4669</v>
      </c>
      <c r="P179" s="12"/>
      <c r="Q179" s="12">
        <v>8501</v>
      </c>
      <c r="R179" s="12"/>
      <c r="S179" s="12">
        <v>0</v>
      </c>
      <c r="T179" s="12"/>
      <c r="U179" s="12">
        <v>0</v>
      </c>
      <c r="V179" s="12"/>
      <c r="W179" s="12">
        <v>0</v>
      </c>
      <c r="X179" s="12"/>
      <c r="Y179" s="12">
        <v>0</v>
      </c>
      <c r="Z179" s="12"/>
      <c r="AA179" s="12">
        <v>0</v>
      </c>
      <c r="AC179" s="12">
        <f t="shared" si="3"/>
        <v>306214</v>
      </c>
    </row>
    <row r="180" spans="1:29" s="11" customFormat="1" ht="12">
      <c r="A180" s="11" t="s">
        <v>350</v>
      </c>
      <c r="C180" s="11" t="s">
        <v>282</v>
      </c>
      <c r="E180" s="12">
        <v>113463</v>
      </c>
      <c r="F180" s="12"/>
      <c r="G180" s="12">
        <v>238</v>
      </c>
      <c r="H180" s="12"/>
      <c r="I180" s="12">
        <v>62649</v>
      </c>
      <c r="J180" s="12"/>
      <c r="K180" s="12">
        <v>29545</v>
      </c>
      <c r="L180" s="12"/>
      <c r="M180" s="12">
        <v>5338</v>
      </c>
      <c r="N180" s="12"/>
      <c r="O180" s="12">
        <v>2766</v>
      </c>
      <c r="P180" s="12"/>
      <c r="Q180" s="12">
        <v>16290</v>
      </c>
      <c r="R180" s="12"/>
      <c r="S180" s="12">
        <v>0</v>
      </c>
      <c r="T180" s="12"/>
      <c r="U180" s="12">
        <v>0</v>
      </c>
      <c r="V180" s="12"/>
      <c r="W180" s="12">
        <v>0</v>
      </c>
      <c r="X180" s="12"/>
      <c r="Y180" s="12">
        <v>0</v>
      </c>
      <c r="Z180" s="12"/>
      <c r="AA180" s="12">
        <v>0</v>
      </c>
      <c r="AC180" s="12">
        <f t="shared" si="3"/>
        <v>230289</v>
      </c>
    </row>
    <row r="181" spans="1:29" s="11" customFormat="1" ht="12">
      <c r="A181" s="11" t="s">
        <v>351</v>
      </c>
      <c r="C181" s="11" t="s">
        <v>150</v>
      </c>
      <c r="E181" s="12">
        <v>461380.3</v>
      </c>
      <c r="F181" s="12"/>
      <c r="G181" s="12">
        <v>150200.61</v>
      </c>
      <c r="H181" s="12"/>
      <c r="I181" s="12">
        <v>166356.11</v>
      </c>
      <c r="J181" s="12"/>
      <c r="K181" s="12">
        <v>182998.36</v>
      </c>
      <c r="L181" s="12"/>
      <c r="M181" s="12">
        <v>18482.53</v>
      </c>
      <c r="N181" s="12"/>
      <c r="O181" s="12">
        <v>2285.65</v>
      </c>
      <c r="P181" s="12"/>
      <c r="Q181" s="12">
        <v>31780.65</v>
      </c>
      <c r="R181" s="12"/>
      <c r="S181" s="12">
        <v>0</v>
      </c>
      <c r="T181" s="12"/>
      <c r="U181" s="12">
        <v>0</v>
      </c>
      <c r="V181" s="12"/>
      <c r="W181" s="12">
        <v>150000</v>
      </c>
      <c r="X181" s="12"/>
      <c r="Y181" s="12">
        <v>0</v>
      </c>
      <c r="Z181" s="12"/>
      <c r="AA181" s="12">
        <v>0</v>
      </c>
      <c r="AC181" s="12">
        <f t="shared" si="3"/>
        <v>1163484.21</v>
      </c>
    </row>
    <row r="182" spans="1:29" s="11" customFormat="1" ht="12">
      <c r="A182" s="11" t="s">
        <v>502</v>
      </c>
      <c r="C182" s="11" t="s">
        <v>282</v>
      </c>
      <c r="E182" s="12">
        <v>114251</v>
      </c>
      <c r="F182" s="12"/>
      <c r="G182" s="12">
        <v>42899</v>
      </c>
      <c r="H182" s="12"/>
      <c r="I182" s="12">
        <v>61224</v>
      </c>
      <c r="J182" s="12"/>
      <c r="K182" s="12">
        <v>726</v>
      </c>
      <c r="L182" s="12"/>
      <c r="M182" s="12">
        <v>3587</v>
      </c>
      <c r="N182" s="12"/>
      <c r="O182" s="12">
        <v>139185</v>
      </c>
      <c r="P182" s="12"/>
      <c r="Q182" s="12">
        <v>3238</v>
      </c>
      <c r="R182" s="12"/>
      <c r="S182" s="12">
        <v>0</v>
      </c>
      <c r="T182" s="12"/>
      <c r="U182" s="12">
        <v>0</v>
      </c>
      <c r="V182" s="12"/>
      <c r="W182" s="12">
        <v>0</v>
      </c>
      <c r="X182" s="12"/>
      <c r="Y182" s="12">
        <v>0</v>
      </c>
      <c r="Z182" s="12"/>
      <c r="AA182" s="12">
        <v>0</v>
      </c>
      <c r="AC182" s="12">
        <f t="shared" si="3"/>
        <v>365110</v>
      </c>
    </row>
    <row r="183" spans="1:29" s="11" customFormat="1" ht="12">
      <c r="A183" s="11" t="s">
        <v>353</v>
      </c>
      <c r="C183" s="11" t="s">
        <v>354</v>
      </c>
      <c r="E183" s="12">
        <v>358489</v>
      </c>
      <c r="F183" s="12"/>
      <c r="G183" s="12">
        <v>231065</v>
      </c>
      <c r="H183" s="12"/>
      <c r="I183" s="12">
        <v>135540</v>
      </c>
      <c r="J183" s="12"/>
      <c r="K183" s="12">
        <v>180451</v>
      </c>
      <c r="L183" s="12"/>
      <c r="M183" s="12">
        <v>22775</v>
      </c>
      <c r="N183" s="12"/>
      <c r="O183" s="12">
        <v>10600</v>
      </c>
      <c r="P183" s="12"/>
      <c r="Q183" s="12">
        <v>13743</v>
      </c>
      <c r="R183" s="12"/>
      <c r="S183" s="12">
        <v>0</v>
      </c>
      <c r="T183" s="12"/>
      <c r="U183" s="12">
        <v>0</v>
      </c>
      <c r="V183" s="12"/>
      <c r="W183" s="12">
        <v>0</v>
      </c>
      <c r="X183" s="12"/>
      <c r="Y183" s="12">
        <v>0</v>
      </c>
      <c r="Z183" s="12"/>
      <c r="AA183" s="12">
        <v>0</v>
      </c>
      <c r="AC183" s="12">
        <f t="shared" si="3"/>
        <v>952663</v>
      </c>
    </row>
    <row r="184" spans="1:29" s="11" customFormat="1" ht="12">
      <c r="A184" s="11" t="s">
        <v>355</v>
      </c>
      <c r="C184" s="11" t="s">
        <v>134</v>
      </c>
      <c r="E184" s="12">
        <v>396979.51</v>
      </c>
      <c r="F184" s="12"/>
      <c r="G184" s="12">
        <v>97428.55</v>
      </c>
      <c r="H184" s="12"/>
      <c r="I184" s="12">
        <v>33441.09</v>
      </c>
      <c r="J184" s="12"/>
      <c r="K184" s="12">
        <v>132306.64</v>
      </c>
      <c r="L184" s="12"/>
      <c r="M184" s="12">
        <v>17813.68</v>
      </c>
      <c r="N184" s="12"/>
      <c r="O184" s="12">
        <v>2463.74</v>
      </c>
      <c r="P184" s="12"/>
      <c r="Q184" s="12">
        <v>6994.09</v>
      </c>
      <c r="R184" s="12"/>
      <c r="S184" s="12">
        <v>0</v>
      </c>
      <c r="T184" s="12"/>
      <c r="U184" s="12">
        <v>0</v>
      </c>
      <c r="V184" s="12"/>
      <c r="W184" s="12">
        <v>0</v>
      </c>
      <c r="X184" s="12"/>
      <c r="Y184" s="12">
        <v>0</v>
      </c>
      <c r="Z184" s="12"/>
      <c r="AA184" s="12">
        <v>0</v>
      </c>
      <c r="AC184" s="12">
        <f t="shared" si="3"/>
        <v>687427.3</v>
      </c>
    </row>
    <row r="185" spans="1:29" s="11" customFormat="1" ht="12">
      <c r="A185" s="11" t="s">
        <v>356</v>
      </c>
      <c r="C185" s="11" t="s">
        <v>153</v>
      </c>
      <c r="E185" s="12">
        <v>151243.08</v>
      </c>
      <c r="F185" s="12"/>
      <c r="G185" s="12">
        <v>22072.89</v>
      </c>
      <c r="H185" s="12"/>
      <c r="I185" s="12">
        <v>26006.48</v>
      </c>
      <c r="J185" s="12"/>
      <c r="K185" s="12">
        <v>38246</v>
      </c>
      <c r="L185" s="12"/>
      <c r="M185" s="12">
        <v>11159.24</v>
      </c>
      <c r="N185" s="12"/>
      <c r="O185" s="12">
        <v>3346.7</v>
      </c>
      <c r="P185" s="12"/>
      <c r="Q185" s="12">
        <v>7592.54</v>
      </c>
      <c r="R185" s="12"/>
      <c r="S185" s="12">
        <v>0</v>
      </c>
      <c r="T185" s="12"/>
      <c r="U185" s="12">
        <v>0</v>
      </c>
      <c r="V185" s="12"/>
      <c r="W185" s="12">
        <v>0</v>
      </c>
      <c r="X185" s="12"/>
      <c r="Y185" s="12">
        <v>0</v>
      </c>
      <c r="Z185" s="12"/>
      <c r="AA185" s="12">
        <v>0</v>
      </c>
      <c r="AC185" s="12">
        <f t="shared" si="3"/>
        <v>259666.93</v>
      </c>
    </row>
    <row r="186" spans="1:29" s="11" customFormat="1" ht="12">
      <c r="A186" s="11" t="s">
        <v>357</v>
      </c>
      <c r="C186" s="11" t="s">
        <v>358</v>
      </c>
      <c r="E186" s="12">
        <v>477289</v>
      </c>
      <c r="F186" s="12"/>
      <c r="G186" s="12">
        <v>132402</v>
      </c>
      <c r="H186" s="12"/>
      <c r="I186" s="12">
        <v>108786</v>
      </c>
      <c r="J186" s="12"/>
      <c r="K186" s="12">
        <v>67173</v>
      </c>
      <c r="L186" s="12"/>
      <c r="M186" s="12">
        <v>20897</v>
      </c>
      <c r="N186" s="12"/>
      <c r="O186" s="12">
        <v>8194</v>
      </c>
      <c r="P186" s="12"/>
      <c r="Q186" s="12">
        <v>237473</v>
      </c>
      <c r="R186" s="12"/>
      <c r="S186" s="12">
        <v>0</v>
      </c>
      <c r="T186" s="12"/>
      <c r="U186" s="12">
        <v>0</v>
      </c>
      <c r="V186" s="12"/>
      <c r="W186" s="12">
        <v>0</v>
      </c>
      <c r="X186" s="12"/>
      <c r="Y186" s="12">
        <v>0</v>
      </c>
      <c r="Z186" s="12"/>
      <c r="AA186" s="12">
        <v>0</v>
      </c>
      <c r="AC186" s="12">
        <f t="shared" si="3"/>
        <v>1052214</v>
      </c>
    </row>
    <row r="187" spans="1:29" s="11" customFormat="1" ht="12">
      <c r="A187" s="11" t="s">
        <v>359</v>
      </c>
      <c r="C187" s="11" t="s">
        <v>358</v>
      </c>
      <c r="E187" s="12">
        <v>39403</v>
      </c>
      <c r="F187" s="12"/>
      <c r="G187" s="12">
        <f>9371+2141+2717</f>
        <v>14229</v>
      </c>
      <c r="H187" s="12"/>
      <c r="I187" s="12">
        <v>396</v>
      </c>
      <c r="J187" s="12"/>
      <c r="K187" s="12">
        <v>0</v>
      </c>
      <c r="L187" s="12"/>
      <c r="M187" s="12">
        <v>39</v>
      </c>
      <c r="N187" s="12"/>
      <c r="O187" s="12">
        <v>0</v>
      </c>
      <c r="P187" s="12"/>
      <c r="Q187" s="12">
        <f>55906-39-396-14229-39403</f>
        <v>1839</v>
      </c>
      <c r="R187" s="12"/>
      <c r="S187" s="12">
        <v>0</v>
      </c>
      <c r="T187" s="12"/>
      <c r="U187" s="12">
        <v>0</v>
      </c>
      <c r="V187" s="12"/>
      <c r="W187" s="12">
        <v>0</v>
      </c>
      <c r="X187" s="12"/>
      <c r="Y187" s="12">
        <v>0</v>
      </c>
      <c r="Z187" s="12"/>
      <c r="AA187" s="12">
        <v>0</v>
      </c>
      <c r="AC187" s="12">
        <f t="shared" si="3"/>
        <v>55906</v>
      </c>
    </row>
    <row r="188" spans="1:29" s="11" customFormat="1" ht="12">
      <c r="A188" s="11" t="s">
        <v>360</v>
      </c>
      <c r="C188" s="11" t="s">
        <v>158</v>
      </c>
      <c r="E188" s="12">
        <v>188282.21</v>
      </c>
      <c r="F188" s="12"/>
      <c r="G188" s="12">
        <v>45845.42</v>
      </c>
      <c r="H188" s="12"/>
      <c r="I188" s="12">
        <v>119294.43</v>
      </c>
      <c r="J188" s="12"/>
      <c r="K188" s="12">
        <v>53564.23</v>
      </c>
      <c r="L188" s="12"/>
      <c r="M188" s="12">
        <v>8370.1</v>
      </c>
      <c r="N188" s="12"/>
      <c r="O188" s="12">
        <v>1570.77</v>
      </c>
      <c r="P188" s="12"/>
      <c r="Q188" s="12">
        <v>483657.37</v>
      </c>
      <c r="R188" s="12"/>
      <c r="S188" s="12">
        <v>44000</v>
      </c>
      <c r="T188" s="12"/>
      <c r="U188" s="12">
        <v>6578.95</v>
      </c>
      <c r="V188" s="12"/>
      <c r="W188" s="12">
        <v>50000</v>
      </c>
      <c r="X188" s="12"/>
      <c r="Y188" s="12">
        <v>0</v>
      </c>
      <c r="Z188" s="12"/>
      <c r="AA188" s="12">
        <v>0</v>
      </c>
      <c r="AC188" s="12">
        <f t="shared" si="3"/>
        <v>1001163.48</v>
      </c>
    </row>
    <row r="189" spans="1:29" s="11" customFormat="1" ht="12">
      <c r="A189" s="11" t="s">
        <v>361</v>
      </c>
      <c r="C189" s="11" t="s">
        <v>113</v>
      </c>
      <c r="E189" s="12">
        <v>235413.1</v>
      </c>
      <c r="F189" s="12"/>
      <c r="G189" s="12">
        <v>43438.55</v>
      </c>
      <c r="H189" s="12"/>
      <c r="I189" s="12">
        <v>111688.43</v>
      </c>
      <c r="J189" s="12"/>
      <c r="K189" s="12">
        <v>59075.01</v>
      </c>
      <c r="L189" s="12"/>
      <c r="M189" s="12">
        <v>6224.41</v>
      </c>
      <c r="N189" s="12"/>
      <c r="O189" s="12">
        <v>3030.55</v>
      </c>
      <c r="P189" s="12"/>
      <c r="Q189" s="12">
        <v>13391.49</v>
      </c>
      <c r="R189" s="12"/>
      <c r="S189" s="12">
        <v>0</v>
      </c>
      <c r="T189" s="12"/>
      <c r="U189" s="12">
        <v>0</v>
      </c>
      <c r="V189" s="12"/>
      <c r="W189" s="12">
        <v>0</v>
      </c>
      <c r="X189" s="12"/>
      <c r="Y189" s="12">
        <v>0</v>
      </c>
      <c r="Z189" s="12"/>
      <c r="AA189" s="12">
        <v>0</v>
      </c>
      <c r="AC189" s="12">
        <f t="shared" si="3"/>
        <v>472261.54</v>
      </c>
    </row>
    <row r="190" spans="1:29" s="11" customFormat="1" ht="12">
      <c r="A190" s="11" t="s">
        <v>508</v>
      </c>
      <c r="C190" s="11" t="s">
        <v>159</v>
      </c>
      <c r="E190" s="12">
        <v>565589.07</v>
      </c>
      <c r="F190" s="12"/>
      <c r="G190" s="12">
        <v>129807.41</v>
      </c>
      <c r="H190" s="12"/>
      <c r="I190" s="12">
        <v>306078.61</v>
      </c>
      <c r="J190" s="12"/>
      <c r="K190" s="12">
        <v>198955.86</v>
      </c>
      <c r="L190" s="12"/>
      <c r="M190" s="12">
        <v>42357.6</v>
      </c>
      <c r="N190" s="12"/>
      <c r="O190" s="12">
        <v>36118.28</v>
      </c>
      <c r="P190" s="12"/>
      <c r="Q190" s="12">
        <v>57944.55</v>
      </c>
      <c r="R190" s="12"/>
      <c r="S190" s="12">
        <v>0</v>
      </c>
      <c r="T190" s="12"/>
      <c r="U190" s="12">
        <v>0</v>
      </c>
      <c r="V190" s="12"/>
      <c r="W190" s="12">
        <v>0</v>
      </c>
      <c r="X190" s="12"/>
      <c r="Y190" s="12">
        <v>400</v>
      </c>
      <c r="Z190" s="12"/>
      <c r="AA190" s="12">
        <v>0</v>
      </c>
      <c r="AC190" s="12">
        <f t="shared" si="3"/>
        <v>1337251.3800000001</v>
      </c>
    </row>
    <row r="191" spans="1:29" s="11" customFormat="1" ht="12">
      <c r="A191" s="11" t="s">
        <v>363</v>
      </c>
      <c r="C191" s="11" t="s">
        <v>161</v>
      </c>
      <c r="E191" s="12">
        <v>85861</v>
      </c>
      <c r="F191" s="12"/>
      <c r="G191" s="12">
        <v>13174</v>
      </c>
      <c r="H191" s="12"/>
      <c r="I191" s="12">
        <v>29218</v>
      </c>
      <c r="J191" s="12"/>
      <c r="K191" s="12">
        <v>18281</v>
      </c>
      <c r="L191" s="12"/>
      <c r="M191" s="12">
        <v>6020</v>
      </c>
      <c r="N191" s="12"/>
      <c r="O191" s="12">
        <v>1062</v>
      </c>
      <c r="P191" s="12"/>
      <c r="Q191" s="12">
        <v>258890</v>
      </c>
      <c r="R191" s="12"/>
      <c r="S191" s="12">
        <v>0</v>
      </c>
      <c r="T191" s="12"/>
      <c r="U191" s="12">
        <v>0</v>
      </c>
      <c r="V191" s="12"/>
      <c r="W191" s="12">
        <v>0</v>
      </c>
      <c r="X191" s="12"/>
      <c r="Y191" s="12">
        <v>0</v>
      </c>
      <c r="Z191" s="12"/>
      <c r="AA191" s="12">
        <v>0</v>
      </c>
      <c r="AC191" s="12">
        <f t="shared" si="3"/>
        <v>412506</v>
      </c>
    </row>
    <row r="192" spans="1:29" s="11" customFormat="1" ht="12">
      <c r="A192" s="11" t="s">
        <v>364</v>
      </c>
      <c r="C192" s="11" t="s">
        <v>159</v>
      </c>
      <c r="E192" s="12">
        <v>1460</v>
      </c>
      <c r="F192" s="12"/>
      <c r="G192" s="12">
        <v>0</v>
      </c>
      <c r="H192" s="12"/>
      <c r="I192" s="12">
        <v>650</v>
      </c>
      <c r="J192" s="12"/>
      <c r="K192" s="12">
        <v>0</v>
      </c>
      <c r="L192" s="12"/>
      <c r="M192" s="12">
        <v>74951</v>
      </c>
      <c r="N192" s="12"/>
      <c r="O192" s="12">
        <v>0</v>
      </c>
      <c r="P192" s="12"/>
      <c r="Q192" s="12">
        <v>0</v>
      </c>
      <c r="R192" s="12"/>
      <c r="S192" s="12">
        <v>0</v>
      </c>
      <c r="T192" s="12"/>
      <c r="U192" s="12">
        <v>0</v>
      </c>
      <c r="V192" s="12"/>
      <c r="W192" s="12">
        <v>0</v>
      </c>
      <c r="X192" s="12"/>
      <c r="Y192" s="12">
        <v>0</v>
      </c>
      <c r="Z192" s="12"/>
      <c r="AA192" s="12">
        <v>0</v>
      </c>
      <c r="AC192" s="12">
        <f t="shared" si="3"/>
        <v>77061</v>
      </c>
    </row>
    <row r="193" spans="1:29" s="11" customFormat="1" ht="12">
      <c r="A193" s="11" t="s">
        <v>365</v>
      </c>
      <c r="C193" s="11" t="s">
        <v>106</v>
      </c>
      <c r="E193" s="12">
        <v>421542.39</v>
      </c>
      <c r="F193" s="12"/>
      <c r="G193" s="12">
        <v>136619.63</v>
      </c>
      <c r="H193" s="12"/>
      <c r="I193" s="12">
        <v>489901.58</v>
      </c>
      <c r="J193" s="12"/>
      <c r="K193" s="12">
        <v>102748.17</v>
      </c>
      <c r="L193" s="12"/>
      <c r="M193" s="12">
        <v>15129.94</v>
      </c>
      <c r="N193" s="12"/>
      <c r="O193" s="12">
        <v>8626.71</v>
      </c>
      <c r="P193" s="12"/>
      <c r="Q193" s="12">
        <v>98891.78</v>
      </c>
      <c r="R193" s="12"/>
      <c r="S193" s="12">
        <v>0</v>
      </c>
      <c r="T193" s="12"/>
      <c r="U193" s="12">
        <v>0</v>
      </c>
      <c r="V193" s="12"/>
      <c r="W193" s="12">
        <v>20000</v>
      </c>
      <c r="X193" s="12"/>
      <c r="Y193" s="12">
        <v>0</v>
      </c>
      <c r="Z193" s="12"/>
      <c r="AA193" s="12">
        <v>21567.59</v>
      </c>
      <c r="AC193" s="12">
        <f t="shared" si="3"/>
        <v>1315027.79</v>
      </c>
    </row>
    <row r="194" spans="1:29" s="11" customFormat="1" ht="12">
      <c r="A194" s="11" t="s">
        <v>366</v>
      </c>
      <c r="C194" s="11" t="s">
        <v>367</v>
      </c>
      <c r="E194" s="12">
        <v>770598</v>
      </c>
      <c r="F194" s="12"/>
      <c r="G194" s="12">
        <v>327770</v>
      </c>
      <c r="H194" s="12"/>
      <c r="I194" s="12">
        <v>279537</v>
      </c>
      <c r="J194" s="12"/>
      <c r="K194" s="12">
        <v>308853</v>
      </c>
      <c r="L194" s="12"/>
      <c r="M194" s="12">
        <v>50237</v>
      </c>
      <c r="N194" s="12"/>
      <c r="O194" s="12">
        <v>8126</v>
      </c>
      <c r="P194" s="12"/>
      <c r="Q194" s="12">
        <v>133867</v>
      </c>
      <c r="R194" s="12"/>
      <c r="S194" s="12">
        <v>0</v>
      </c>
      <c r="T194" s="12"/>
      <c r="U194" s="12">
        <v>0</v>
      </c>
      <c r="V194" s="12"/>
      <c r="W194" s="12">
        <v>0</v>
      </c>
      <c r="X194" s="12"/>
      <c r="Y194" s="12">
        <v>0</v>
      </c>
      <c r="Z194" s="12"/>
      <c r="AA194" s="12">
        <v>0</v>
      </c>
      <c r="AC194" s="12">
        <f t="shared" si="3"/>
        <v>1878988</v>
      </c>
    </row>
    <row r="195" spans="1:29" s="11" customFormat="1" ht="12">
      <c r="A195" s="11" t="s">
        <v>467</v>
      </c>
      <c r="C195" s="11" t="s">
        <v>160</v>
      </c>
      <c r="E195" s="12">
        <v>528303.95</v>
      </c>
      <c r="F195" s="12"/>
      <c r="G195" s="12">
        <v>194360.68</v>
      </c>
      <c r="H195" s="12"/>
      <c r="I195" s="12">
        <v>218262.59</v>
      </c>
      <c r="J195" s="12"/>
      <c r="K195" s="12">
        <v>153640.48</v>
      </c>
      <c r="L195" s="12"/>
      <c r="M195" s="12">
        <v>17723.67</v>
      </c>
      <c r="N195" s="12"/>
      <c r="O195" s="12">
        <v>10776.07</v>
      </c>
      <c r="P195" s="12"/>
      <c r="Q195" s="12">
        <v>166464.92</v>
      </c>
      <c r="R195" s="12"/>
      <c r="S195" s="12">
        <v>0</v>
      </c>
      <c r="T195" s="12"/>
      <c r="U195" s="12">
        <v>0</v>
      </c>
      <c r="V195" s="12"/>
      <c r="W195" s="12">
        <v>150000</v>
      </c>
      <c r="X195" s="12"/>
      <c r="Y195" s="12">
        <v>0</v>
      </c>
      <c r="Z195" s="12"/>
      <c r="AA195" s="12">
        <v>0</v>
      </c>
      <c r="AC195" s="12">
        <f t="shared" si="3"/>
        <v>1439532.3599999999</v>
      </c>
    </row>
    <row r="196" spans="1:29" s="11" customFormat="1" ht="12">
      <c r="A196" s="11" t="s">
        <v>369</v>
      </c>
      <c r="C196" s="11" t="s">
        <v>103</v>
      </c>
      <c r="E196" s="12">
        <v>280852.24</v>
      </c>
      <c r="F196" s="12"/>
      <c r="G196" s="12">
        <v>48038.13</v>
      </c>
      <c r="H196" s="12"/>
      <c r="I196" s="12">
        <v>58183.41</v>
      </c>
      <c r="J196" s="12"/>
      <c r="K196" s="12">
        <v>72585.89</v>
      </c>
      <c r="L196" s="12"/>
      <c r="M196" s="12">
        <v>9636.26</v>
      </c>
      <c r="N196" s="12"/>
      <c r="O196" s="12">
        <v>29370.07</v>
      </c>
      <c r="P196" s="12"/>
      <c r="Q196" s="12">
        <v>59175.77</v>
      </c>
      <c r="R196" s="12"/>
      <c r="S196" s="12">
        <v>0</v>
      </c>
      <c r="T196" s="12"/>
      <c r="U196" s="12">
        <v>0</v>
      </c>
      <c r="V196" s="12"/>
      <c r="W196" s="12">
        <v>0</v>
      </c>
      <c r="X196" s="12"/>
      <c r="Y196" s="12">
        <v>0</v>
      </c>
      <c r="Z196" s="12"/>
      <c r="AA196" s="12">
        <v>0</v>
      </c>
      <c r="AC196" s="12">
        <f t="shared" si="3"/>
        <v>557841.77</v>
      </c>
    </row>
    <row r="197" spans="1:29" s="11" customFormat="1" ht="12">
      <c r="A197" s="11" t="s">
        <v>370</v>
      </c>
      <c r="C197" s="11" t="s">
        <v>286</v>
      </c>
      <c r="E197" s="12">
        <v>1454400</v>
      </c>
      <c r="F197" s="12"/>
      <c r="G197" s="12">
        <v>457629</v>
      </c>
      <c r="H197" s="12"/>
      <c r="I197" s="12">
        <f>306504+15311</f>
        <v>321815</v>
      </c>
      <c r="J197" s="12"/>
      <c r="K197" s="12">
        <v>412483</v>
      </c>
      <c r="L197" s="12"/>
      <c r="M197" s="12">
        <v>57220</v>
      </c>
      <c r="N197" s="12"/>
      <c r="O197" s="12">
        <v>7818</v>
      </c>
      <c r="P197" s="12"/>
      <c r="Q197" s="12">
        <f>41287+56417</f>
        <v>97704</v>
      </c>
      <c r="R197" s="12"/>
      <c r="S197" s="12">
        <v>0</v>
      </c>
      <c r="T197" s="12"/>
      <c r="U197" s="12">
        <v>0</v>
      </c>
      <c r="V197" s="12"/>
      <c r="W197" s="12">
        <v>64684</v>
      </c>
      <c r="X197" s="12"/>
      <c r="Y197" s="12">
        <v>0</v>
      </c>
      <c r="Z197" s="12"/>
      <c r="AA197" s="12">
        <v>0</v>
      </c>
      <c r="AC197" s="12">
        <f t="shared" si="3"/>
        <v>2873753</v>
      </c>
    </row>
    <row r="198" spans="1:29" s="11" customFormat="1" ht="12">
      <c r="A198" s="11" t="s">
        <v>371</v>
      </c>
      <c r="C198" s="11" t="s">
        <v>286</v>
      </c>
      <c r="E198" s="12">
        <v>2356797</v>
      </c>
      <c r="F198" s="12"/>
      <c r="G198" s="12">
        <v>549975</v>
      </c>
      <c r="H198" s="12"/>
      <c r="I198" s="12">
        <v>615869</v>
      </c>
      <c r="J198" s="12"/>
      <c r="K198" s="12">
        <v>650611</v>
      </c>
      <c r="L198" s="12"/>
      <c r="M198" s="12">
        <v>101018</v>
      </c>
      <c r="N198" s="12"/>
      <c r="O198" s="12">
        <v>7999</v>
      </c>
      <c r="P198" s="12"/>
      <c r="Q198" s="12">
        <v>214017</v>
      </c>
      <c r="R198" s="12"/>
      <c r="S198" s="12">
        <v>0</v>
      </c>
      <c r="T198" s="12"/>
      <c r="U198" s="12">
        <v>0</v>
      </c>
      <c r="V198" s="12"/>
      <c r="W198" s="12">
        <v>12572</v>
      </c>
      <c r="X198" s="12"/>
      <c r="Y198" s="12">
        <v>0</v>
      </c>
      <c r="Z198" s="12"/>
      <c r="AA198" s="12">
        <v>0</v>
      </c>
      <c r="AC198" s="12">
        <f t="shared" si="3"/>
        <v>4508858</v>
      </c>
    </row>
    <row r="199" spans="5:29" s="11" customFormat="1" ht="12"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C199" s="27" t="s">
        <v>98</v>
      </c>
    </row>
    <row r="200" spans="1:29" s="11" customFormat="1" ht="12">
      <c r="A200" s="11" t="s">
        <v>114</v>
      </c>
      <c r="C200" s="11" t="s">
        <v>115</v>
      </c>
      <c r="E200" s="26">
        <v>1488501</v>
      </c>
      <c r="F200" s="26"/>
      <c r="G200" s="26">
        <v>513902</v>
      </c>
      <c r="H200" s="26"/>
      <c r="I200" s="26">
        <v>437121</v>
      </c>
      <c r="J200" s="26"/>
      <c r="K200" s="26">
        <v>344112</v>
      </c>
      <c r="L200" s="26"/>
      <c r="M200" s="26">
        <v>61968</v>
      </c>
      <c r="N200" s="26"/>
      <c r="O200" s="26">
        <v>9130</v>
      </c>
      <c r="P200" s="26"/>
      <c r="Q200" s="26">
        <v>104791</v>
      </c>
      <c r="R200" s="26"/>
      <c r="S200" s="26">
        <v>12522</v>
      </c>
      <c r="T200" s="26"/>
      <c r="U200" s="26">
        <v>58</v>
      </c>
      <c r="V200" s="26"/>
      <c r="W200" s="26">
        <v>12021</v>
      </c>
      <c r="X200" s="26"/>
      <c r="Y200" s="26">
        <v>0</v>
      </c>
      <c r="Z200" s="26"/>
      <c r="AA200" s="26">
        <v>0</v>
      </c>
      <c r="AC200" s="26">
        <f aca="true" t="shared" si="4" ref="AC200:AC258">SUM(E200:AA200)</f>
        <v>2984126</v>
      </c>
    </row>
    <row r="201" spans="1:29" s="11" customFormat="1" ht="12">
      <c r="A201" s="11" t="s">
        <v>372</v>
      </c>
      <c r="C201" s="11" t="s">
        <v>201</v>
      </c>
      <c r="E201" s="12">
        <v>681937</v>
      </c>
      <c r="F201" s="12"/>
      <c r="G201" s="12">
        <v>142127</v>
      </c>
      <c r="H201" s="12"/>
      <c r="I201" s="12">
        <v>199570</v>
      </c>
      <c r="J201" s="12"/>
      <c r="K201" s="12">
        <v>300249</v>
      </c>
      <c r="L201" s="12"/>
      <c r="M201" s="12">
        <v>41966</v>
      </c>
      <c r="N201" s="12"/>
      <c r="O201" s="12">
        <v>8739</v>
      </c>
      <c r="P201" s="12"/>
      <c r="Q201" s="12">
        <v>26802</v>
      </c>
      <c r="R201" s="12"/>
      <c r="S201" s="12">
        <v>0</v>
      </c>
      <c r="T201" s="12"/>
      <c r="U201" s="12">
        <v>0</v>
      </c>
      <c r="V201" s="12"/>
      <c r="W201" s="12">
        <v>0</v>
      </c>
      <c r="X201" s="12"/>
      <c r="Y201" s="12">
        <v>0</v>
      </c>
      <c r="Z201" s="12"/>
      <c r="AA201" s="12">
        <v>0</v>
      </c>
      <c r="AC201" s="12">
        <f t="shared" si="4"/>
        <v>1401390</v>
      </c>
    </row>
    <row r="202" spans="1:29" s="11" customFormat="1" ht="12">
      <c r="A202" s="11" t="s">
        <v>373</v>
      </c>
      <c r="C202" s="11" t="s">
        <v>139</v>
      </c>
      <c r="E202" s="12">
        <v>269557.74</v>
      </c>
      <c r="F202" s="12"/>
      <c r="G202" s="12">
        <v>88824.55</v>
      </c>
      <c r="H202" s="12"/>
      <c r="I202" s="12">
        <v>92912</v>
      </c>
      <c r="J202" s="12"/>
      <c r="K202" s="12">
        <v>74901.67</v>
      </c>
      <c r="L202" s="12"/>
      <c r="M202" s="12">
        <v>17674.28</v>
      </c>
      <c r="N202" s="12"/>
      <c r="O202" s="12">
        <v>12437.2</v>
      </c>
      <c r="P202" s="12"/>
      <c r="Q202" s="12">
        <v>39183.12</v>
      </c>
      <c r="R202" s="12"/>
      <c r="S202" s="12">
        <v>19743.31</v>
      </c>
      <c r="T202" s="12"/>
      <c r="U202" s="12">
        <v>5122.01</v>
      </c>
      <c r="V202" s="12"/>
      <c r="W202" s="12">
        <v>5000</v>
      </c>
      <c r="X202" s="12"/>
      <c r="Y202" s="12">
        <v>0</v>
      </c>
      <c r="Z202" s="12"/>
      <c r="AA202" s="12">
        <v>0</v>
      </c>
      <c r="AC202" s="12">
        <f t="shared" si="4"/>
        <v>625355.88</v>
      </c>
    </row>
    <row r="203" spans="1:29" s="11" customFormat="1" ht="12">
      <c r="A203" s="11" t="s">
        <v>374</v>
      </c>
      <c r="C203" s="11" t="s">
        <v>375</v>
      </c>
      <c r="E203" s="12">
        <v>747301.88</v>
      </c>
      <c r="F203" s="12"/>
      <c r="G203" s="12">
        <v>212456.25</v>
      </c>
      <c r="H203" s="12"/>
      <c r="I203" s="12">
        <v>104702.07</v>
      </c>
      <c r="J203" s="12"/>
      <c r="K203" s="12">
        <v>169341.66</v>
      </c>
      <c r="L203" s="12"/>
      <c r="M203" s="12">
        <v>33582.44</v>
      </c>
      <c r="N203" s="12"/>
      <c r="O203" s="12">
        <v>6584.5</v>
      </c>
      <c r="P203" s="12"/>
      <c r="Q203" s="12">
        <v>69866.98</v>
      </c>
      <c r="R203" s="12"/>
      <c r="S203" s="12">
        <v>60000</v>
      </c>
      <c r="T203" s="12"/>
      <c r="U203" s="12">
        <v>3675.02</v>
      </c>
      <c r="V203" s="12"/>
      <c r="W203" s="12">
        <v>0</v>
      </c>
      <c r="X203" s="12"/>
      <c r="Y203" s="12">
        <v>0</v>
      </c>
      <c r="Z203" s="12"/>
      <c r="AA203" s="12">
        <v>0</v>
      </c>
      <c r="AC203" s="12">
        <f t="shared" si="4"/>
        <v>1407510.7999999998</v>
      </c>
    </row>
    <row r="204" spans="1:29" s="11" customFormat="1" ht="12">
      <c r="A204" s="11" t="s">
        <v>376</v>
      </c>
      <c r="C204" s="11" t="s">
        <v>286</v>
      </c>
      <c r="E204" s="12">
        <v>644454.68</v>
      </c>
      <c r="F204" s="12"/>
      <c r="G204" s="12">
        <v>180565.21</v>
      </c>
      <c r="H204" s="12"/>
      <c r="I204" s="12">
        <v>613316.68</v>
      </c>
      <c r="J204" s="12"/>
      <c r="K204" s="12">
        <v>216044.91</v>
      </c>
      <c r="L204" s="12"/>
      <c r="M204" s="12">
        <v>73332.09</v>
      </c>
      <c r="N204" s="12"/>
      <c r="O204" s="12">
        <v>12165.55</v>
      </c>
      <c r="P204" s="12"/>
      <c r="Q204" s="12">
        <v>991125.07</v>
      </c>
      <c r="R204" s="12"/>
      <c r="S204" s="12">
        <v>0</v>
      </c>
      <c r="T204" s="12"/>
      <c r="U204" s="12">
        <v>0</v>
      </c>
      <c r="V204" s="12"/>
      <c r="W204" s="12">
        <v>5000</v>
      </c>
      <c r="X204" s="12"/>
      <c r="Y204" s="12">
        <v>0</v>
      </c>
      <c r="Z204" s="12"/>
      <c r="AA204" s="12">
        <v>20.36</v>
      </c>
      <c r="AC204" s="12">
        <f t="shared" si="4"/>
        <v>2736024.55</v>
      </c>
    </row>
    <row r="205" spans="1:29" s="11" customFormat="1" ht="12">
      <c r="A205" s="11" t="s">
        <v>468</v>
      </c>
      <c r="C205" s="11" t="s">
        <v>343</v>
      </c>
      <c r="E205" s="12">
        <v>5661649</v>
      </c>
      <c r="F205" s="12"/>
      <c r="G205" s="12">
        <v>1681594</v>
      </c>
      <c r="H205" s="12"/>
      <c r="I205" s="12">
        <v>2010532</v>
      </c>
      <c r="J205" s="12"/>
      <c r="K205" s="12">
        <v>1471599</v>
      </c>
      <c r="L205" s="12"/>
      <c r="M205" s="12">
        <v>216252</v>
      </c>
      <c r="N205" s="12"/>
      <c r="O205" s="12">
        <v>85371</v>
      </c>
      <c r="P205" s="12"/>
      <c r="Q205" s="12">
        <v>752788</v>
      </c>
      <c r="R205" s="12"/>
      <c r="S205" s="12">
        <v>0</v>
      </c>
      <c r="T205" s="12"/>
      <c r="U205" s="12">
        <v>0</v>
      </c>
      <c r="V205" s="12"/>
      <c r="W205" s="12">
        <v>3250000</v>
      </c>
      <c r="X205" s="12"/>
      <c r="Y205" s="12">
        <v>0</v>
      </c>
      <c r="Z205" s="12"/>
      <c r="AA205" s="12">
        <v>0</v>
      </c>
      <c r="AC205" s="12">
        <f t="shared" si="4"/>
        <v>15129785</v>
      </c>
    </row>
    <row r="206" spans="1:29" s="11" customFormat="1" ht="12">
      <c r="A206" s="11" t="s">
        <v>378</v>
      </c>
      <c r="C206" s="11" t="s">
        <v>311</v>
      </c>
      <c r="E206" s="12">
        <v>130930</v>
      </c>
      <c r="F206" s="12"/>
      <c r="G206" s="12">
        <v>48899</v>
      </c>
      <c r="H206" s="12"/>
      <c r="I206" s="12">
        <v>80516</v>
      </c>
      <c r="J206" s="12"/>
      <c r="K206" s="12">
        <v>53987</v>
      </c>
      <c r="L206" s="12"/>
      <c r="M206" s="12">
        <v>9600</v>
      </c>
      <c r="N206" s="12"/>
      <c r="O206" s="12">
        <v>4674</v>
      </c>
      <c r="P206" s="12"/>
      <c r="Q206" s="12">
        <v>3929</v>
      </c>
      <c r="R206" s="12"/>
      <c r="S206" s="12">
        <v>42052</v>
      </c>
      <c r="T206" s="12"/>
      <c r="U206" s="12">
        <v>0</v>
      </c>
      <c r="V206" s="12"/>
      <c r="W206" s="12">
        <v>15350</v>
      </c>
      <c r="X206" s="12"/>
      <c r="Y206" s="12">
        <v>0</v>
      </c>
      <c r="Z206" s="12"/>
      <c r="AA206" s="12">
        <v>0</v>
      </c>
      <c r="AC206" s="12">
        <f t="shared" si="4"/>
        <v>389937</v>
      </c>
    </row>
    <row r="207" spans="1:29" s="11" customFormat="1" ht="12">
      <c r="A207" s="11" t="s">
        <v>469</v>
      </c>
      <c r="C207" s="11" t="s">
        <v>154</v>
      </c>
      <c r="E207" s="12">
        <v>66314.36</v>
      </c>
      <c r="F207" s="12"/>
      <c r="G207" s="12">
        <v>10175.25</v>
      </c>
      <c r="H207" s="12"/>
      <c r="I207" s="12">
        <v>31308.38</v>
      </c>
      <c r="J207" s="12"/>
      <c r="K207" s="12">
        <v>14996.32</v>
      </c>
      <c r="L207" s="12"/>
      <c r="M207" s="12">
        <v>4252.5</v>
      </c>
      <c r="N207" s="12"/>
      <c r="O207" s="12">
        <v>1405.02</v>
      </c>
      <c r="P207" s="12"/>
      <c r="Q207" s="12">
        <v>0</v>
      </c>
      <c r="R207" s="12"/>
      <c r="S207" s="12">
        <v>0</v>
      </c>
      <c r="T207" s="12"/>
      <c r="U207" s="12">
        <v>0</v>
      </c>
      <c r="V207" s="12"/>
      <c r="W207" s="12">
        <v>0</v>
      </c>
      <c r="X207" s="12"/>
      <c r="Y207" s="12">
        <v>0</v>
      </c>
      <c r="Z207" s="12"/>
      <c r="AA207" s="12">
        <v>0</v>
      </c>
      <c r="AC207" s="12">
        <f t="shared" si="4"/>
        <v>128451.83</v>
      </c>
    </row>
    <row r="208" spans="1:29" s="11" customFormat="1" ht="12">
      <c r="A208" s="11" t="s">
        <v>380</v>
      </c>
      <c r="C208" s="11" t="s">
        <v>278</v>
      </c>
      <c r="E208" s="12">
        <v>484458.33</v>
      </c>
      <c r="F208" s="12"/>
      <c r="G208" s="12">
        <v>103981.32</v>
      </c>
      <c r="H208" s="12"/>
      <c r="I208" s="12">
        <v>241875.67</v>
      </c>
      <c r="J208" s="12"/>
      <c r="K208" s="12">
        <v>150639.52</v>
      </c>
      <c r="L208" s="12"/>
      <c r="M208" s="12">
        <v>20802.97</v>
      </c>
      <c r="N208" s="12"/>
      <c r="O208" s="12">
        <v>3535.5</v>
      </c>
      <c r="P208" s="12"/>
      <c r="Q208" s="12">
        <v>17596.2</v>
      </c>
      <c r="R208" s="12"/>
      <c r="S208" s="12">
        <v>0</v>
      </c>
      <c r="T208" s="12"/>
      <c r="U208" s="12">
        <v>0</v>
      </c>
      <c r="V208" s="12"/>
      <c r="W208" s="12">
        <v>366200</v>
      </c>
      <c r="X208" s="12"/>
      <c r="Y208" s="12">
        <v>0</v>
      </c>
      <c r="Z208" s="12"/>
      <c r="AA208" s="12">
        <v>0</v>
      </c>
      <c r="AC208" s="12">
        <f t="shared" si="4"/>
        <v>1389089.51</v>
      </c>
    </row>
    <row r="209" spans="1:29" s="11" customFormat="1" ht="12">
      <c r="A209" s="11" t="s">
        <v>381</v>
      </c>
      <c r="C209" s="11" t="s">
        <v>136</v>
      </c>
      <c r="E209" s="12">
        <v>83872.16</v>
      </c>
      <c r="F209" s="12"/>
      <c r="G209" s="12">
        <v>12334.02</v>
      </c>
      <c r="H209" s="12"/>
      <c r="I209" s="12">
        <v>35120.18</v>
      </c>
      <c r="J209" s="12"/>
      <c r="K209" s="12">
        <v>47944.25</v>
      </c>
      <c r="L209" s="12"/>
      <c r="M209" s="12">
        <v>4446.8</v>
      </c>
      <c r="N209" s="12"/>
      <c r="O209" s="12">
        <v>5285.74</v>
      </c>
      <c r="P209" s="12"/>
      <c r="Q209" s="12">
        <v>975.32</v>
      </c>
      <c r="R209" s="12"/>
      <c r="S209" s="12">
        <v>0</v>
      </c>
      <c r="T209" s="12"/>
      <c r="U209" s="12">
        <v>0</v>
      </c>
      <c r="V209" s="12"/>
      <c r="W209" s="12">
        <v>22</v>
      </c>
      <c r="X209" s="12"/>
      <c r="Y209" s="12">
        <v>0</v>
      </c>
      <c r="Z209" s="12"/>
      <c r="AA209" s="12">
        <v>0</v>
      </c>
      <c r="AC209" s="12">
        <f t="shared" si="4"/>
        <v>190000.47</v>
      </c>
    </row>
    <row r="210" spans="1:29" s="11" customFormat="1" ht="12">
      <c r="A210" s="11" t="s">
        <v>503</v>
      </c>
      <c r="C210" s="11" t="s">
        <v>143</v>
      </c>
      <c r="E210" s="12">
        <v>89535.12</v>
      </c>
      <c r="F210" s="12"/>
      <c r="G210" s="12">
        <v>37809.5</v>
      </c>
      <c r="H210" s="12"/>
      <c r="I210" s="12">
        <v>28051.12</v>
      </c>
      <c r="J210" s="12"/>
      <c r="K210" s="12">
        <v>44234.3</v>
      </c>
      <c r="L210" s="12"/>
      <c r="M210" s="12">
        <v>22267.78</v>
      </c>
      <c r="N210" s="12"/>
      <c r="O210" s="12">
        <v>5360</v>
      </c>
      <c r="P210" s="12"/>
      <c r="Q210" s="12">
        <v>7560.5</v>
      </c>
      <c r="R210" s="12"/>
      <c r="S210" s="12">
        <v>0</v>
      </c>
      <c r="T210" s="12"/>
      <c r="U210" s="12">
        <v>0</v>
      </c>
      <c r="V210" s="12"/>
      <c r="W210" s="12">
        <v>0</v>
      </c>
      <c r="X210" s="12"/>
      <c r="Y210" s="12">
        <v>0</v>
      </c>
      <c r="Z210" s="12"/>
      <c r="AA210" s="12">
        <v>0</v>
      </c>
      <c r="AC210" s="12">
        <f t="shared" si="4"/>
        <v>234818.31999999998</v>
      </c>
    </row>
    <row r="211" spans="1:29" s="11" customFormat="1" ht="12">
      <c r="A211" s="11" t="s">
        <v>383</v>
      </c>
      <c r="C211" s="11" t="s">
        <v>110</v>
      </c>
      <c r="E211" s="12">
        <v>1894404</v>
      </c>
      <c r="F211" s="12"/>
      <c r="G211" s="12">
        <v>386325</v>
      </c>
      <c r="H211" s="12"/>
      <c r="I211" s="12">
        <v>296071</v>
      </c>
      <c r="J211" s="12"/>
      <c r="K211" s="12">
        <v>551752</v>
      </c>
      <c r="L211" s="12"/>
      <c r="M211" s="12">
        <v>61479</v>
      </c>
      <c r="N211" s="12"/>
      <c r="O211" s="12">
        <v>6043</v>
      </c>
      <c r="P211" s="12"/>
      <c r="Q211" s="12">
        <v>1467818</v>
      </c>
      <c r="R211" s="12"/>
      <c r="S211" s="12">
        <v>165000</v>
      </c>
      <c r="T211" s="12"/>
      <c r="U211" s="12">
        <v>73900</v>
      </c>
      <c r="V211" s="12"/>
      <c r="W211" s="12">
        <v>0</v>
      </c>
      <c r="X211" s="12"/>
      <c r="Y211" s="12">
        <v>0</v>
      </c>
      <c r="Z211" s="12"/>
      <c r="AA211" s="12">
        <v>0</v>
      </c>
      <c r="AC211" s="12">
        <f t="shared" si="4"/>
        <v>4902792</v>
      </c>
    </row>
    <row r="212" spans="1:29" s="11" customFormat="1" ht="12">
      <c r="A212" s="11" t="s">
        <v>384</v>
      </c>
      <c r="C212" s="11" t="s">
        <v>116</v>
      </c>
      <c r="E212" s="12">
        <v>1210180</v>
      </c>
      <c r="F212" s="12"/>
      <c r="G212" s="12">
        <v>0</v>
      </c>
      <c r="H212" s="12"/>
      <c r="I212" s="12">
        <f>247497+418771</f>
        <v>666268</v>
      </c>
      <c r="J212" s="12"/>
      <c r="K212" s="12">
        <v>28203</v>
      </c>
      <c r="L212" s="12"/>
      <c r="M212" s="12">
        <v>49362</v>
      </c>
      <c r="N212" s="12"/>
      <c r="O212" s="12">
        <v>0</v>
      </c>
      <c r="P212" s="12"/>
      <c r="Q212" s="12">
        <v>1858016</v>
      </c>
      <c r="R212" s="12"/>
      <c r="S212" s="12">
        <v>0</v>
      </c>
      <c r="T212" s="12"/>
      <c r="U212" s="12">
        <v>0</v>
      </c>
      <c r="V212" s="12"/>
      <c r="W212" s="12">
        <v>0</v>
      </c>
      <c r="X212" s="12"/>
      <c r="Y212" s="12">
        <v>0</v>
      </c>
      <c r="Z212" s="12"/>
      <c r="AA212" s="12">
        <v>0</v>
      </c>
      <c r="AC212" s="12">
        <f t="shared" si="4"/>
        <v>3812029</v>
      </c>
    </row>
    <row r="213" spans="1:29" s="11" customFormat="1" ht="12">
      <c r="A213" s="11" t="s">
        <v>385</v>
      </c>
      <c r="C213" s="11" t="s">
        <v>158</v>
      </c>
      <c r="E213" s="12">
        <v>407680</v>
      </c>
      <c r="F213" s="12"/>
      <c r="G213" s="12">
        <v>120426</v>
      </c>
      <c r="H213" s="12"/>
      <c r="I213" s="12">
        <v>163529</v>
      </c>
      <c r="J213" s="12"/>
      <c r="K213" s="12">
        <v>88111</v>
      </c>
      <c r="L213" s="12"/>
      <c r="M213" s="12">
        <v>18354</v>
      </c>
      <c r="N213" s="12"/>
      <c r="O213" s="12">
        <v>6785</v>
      </c>
      <c r="P213" s="12"/>
      <c r="Q213" s="12">
        <v>984895</v>
      </c>
      <c r="R213" s="12"/>
      <c r="S213" s="12">
        <v>0</v>
      </c>
      <c r="T213" s="12"/>
      <c r="U213" s="12">
        <v>0</v>
      </c>
      <c r="V213" s="12"/>
      <c r="W213" s="12">
        <v>0</v>
      </c>
      <c r="X213" s="12"/>
      <c r="Y213" s="12">
        <v>0</v>
      </c>
      <c r="Z213" s="12"/>
      <c r="AA213" s="12">
        <v>0</v>
      </c>
      <c r="AC213" s="12">
        <f t="shared" si="4"/>
        <v>1789780</v>
      </c>
    </row>
    <row r="214" spans="1:29" s="11" customFormat="1" ht="12">
      <c r="A214" s="11" t="s">
        <v>386</v>
      </c>
      <c r="C214" s="11" t="s">
        <v>162</v>
      </c>
      <c r="E214" s="12">
        <v>127074.61</v>
      </c>
      <c r="F214" s="12"/>
      <c r="G214" s="12">
        <v>34995.03</v>
      </c>
      <c r="H214" s="12"/>
      <c r="I214" s="12">
        <v>22774.13</v>
      </c>
      <c r="J214" s="12"/>
      <c r="K214" s="12">
        <v>66102.6</v>
      </c>
      <c r="L214" s="12"/>
      <c r="M214" s="12">
        <v>7026.71</v>
      </c>
      <c r="N214" s="12"/>
      <c r="O214" s="12">
        <v>1048</v>
      </c>
      <c r="P214" s="12"/>
      <c r="Q214" s="12">
        <v>5583.97</v>
      </c>
      <c r="R214" s="12"/>
      <c r="S214" s="12">
        <v>0</v>
      </c>
      <c r="T214" s="12"/>
      <c r="U214" s="12">
        <v>0</v>
      </c>
      <c r="V214" s="12"/>
      <c r="W214" s="12">
        <v>0</v>
      </c>
      <c r="X214" s="12"/>
      <c r="Y214" s="12">
        <v>0</v>
      </c>
      <c r="Z214" s="12"/>
      <c r="AA214" s="12">
        <v>449.75</v>
      </c>
      <c r="AC214" s="12">
        <f t="shared" si="4"/>
        <v>265054.8</v>
      </c>
    </row>
    <row r="215" spans="1:29" s="11" customFormat="1" ht="12">
      <c r="A215" s="11" t="s">
        <v>507</v>
      </c>
      <c r="C215" s="11" t="s">
        <v>155</v>
      </c>
      <c r="E215" s="12">
        <v>180227.59</v>
      </c>
      <c r="F215" s="12"/>
      <c r="G215" s="12">
        <v>75833.64</v>
      </c>
      <c r="H215" s="12"/>
      <c r="I215" s="12">
        <v>62406.12</v>
      </c>
      <c r="J215" s="12"/>
      <c r="K215" s="12">
        <v>38971.52</v>
      </c>
      <c r="L215" s="12"/>
      <c r="M215" s="12">
        <v>15038.33</v>
      </c>
      <c r="N215" s="12"/>
      <c r="O215" s="12">
        <v>1319.03</v>
      </c>
      <c r="P215" s="12"/>
      <c r="Q215" s="12">
        <v>1486.2</v>
      </c>
      <c r="R215" s="12"/>
      <c r="S215" s="12">
        <v>0</v>
      </c>
      <c r="T215" s="12"/>
      <c r="U215" s="12">
        <v>0</v>
      </c>
      <c r="V215" s="12"/>
      <c r="W215" s="12">
        <v>0</v>
      </c>
      <c r="X215" s="12"/>
      <c r="Y215" s="12">
        <v>0</v>
      </c>
      <c r="Z215" s="12"/>
      <c r="AA215" s="12">
        <v>0</v>
      </c>
      <c r="AC215" s="12">
        <f t="shared" si="4"/>
        <v>375282.43000000005</v>
      </c>
    </row>
    <row r="216" spans="1:29" s="11" customFormat="1" ht="12">
      <c r="A216" s="11" t="s">
        <v>388</v>
      </c>
      <c r="C216" s="11" t="s">
        <v>144</v>
      </c>
      <c r="E216" s="12">
        <v>462870</v>
      </c>
      <c r="G216" s="12">
        <v>121898</v>
      </c>
      <c r="I216" s="12">
        <v>158681</v>
      </c>
      <c r="K216" s="12">
        <v>150380</v>
      </c>
      <c r="M216" s="12">
        <v>30331</v>
      </c>
      <c r="O216" s="12">
        <v>3950</v>
      </c>
      <c r="Q216" s="12">
        <v>87746</v>
      </c>
      <c r="S216" s="12">
        <v>0</v>
      </c>
      <c r="U216" s="12">
        <v>0</v>
      </c>
      <c r="W216" s="12">
        <v>10333</v>
      </c>
      <c r="Y216" s="12">
        <v>0</v>
      </c>
      <c r="AA216" s="12">
        <v>0</v>
      </c>
      <c r="AC216" s="12">
        <f t="shared" si="4"/>
        <v>1026189</v>
      </c>
    </row>
    <row r="217" spans="1:29" s="11" customFormat="1" ht="12">
      <c r="A217" s="11" t="s">
        <v>389</v>
      </c>
      <c r="C217" s="11" t="s">
        <v>147</v>
      </c>
      <c r="E217" s="12">
        <v>492682</v>
      </c>
      <c r="G217" s="12">
        <v>60975</v>
      </c>
      <c r="I217" s="12">
        <v>121213</v>
      </c>
      <c r="K217" s="12">
        <v>38711</v>
      </c>
      <c r="M217" s="12">
        <v>11919</v>
      </c>
      <c r="O217" s="12">
        <v>12704</v>
      </c>
      <c r="Q217" s="12">
        <v>7574</v>
      </c>
      <c r="S217" s="12">
        <v>0</v>
      </c>
      <c r="U217" s="12">
        <v>0</v>
      </c>
      <c r="W217" s="12">
        <v>0</v>
      </c>
      <c r="Y217" s="12">
        <v>0</v>
      </c>
      <c r="AA217" s="12">
        <v>0</v>
      </c>
      <c r="AC217" s="12">
        <f t="shared" si="4"/>
        <v>745778</v>
      </c>
    </row>
    <row r="218" spans="1:29" s="11" customFormat="1" ht="12">
      <c r="A218" s="11" t="s">
        <v>470</v>
      </c>
      <c r="C218" s="11" t="s">
        <v>278</v>
      </c>
      <c r="E218" s="12">
        <v>1311313</v>
      </c>
      <c r="G218" s="12">
        <v>423521</v>
      </c>
      <c r="I218" s="12">
        <f>593220+14675</f>
        <v>607895</v>
      </c>
      <c r="K218" s="12">
        <v>262089</v>
      </c>
      <c r="M218" s="12">
        <v>56290</v>
      </c>
      <c r="O218" s="12">
        <v>15247</v>
      </c>
      <c r="Q218" s="12">
        <v>53960</v>
      </c>
      <c r="S218" s="12">
        <v>0</v>
      </c>
      <c r="U218" s="12">
        <v>0</v>
      </c>
      <c r="W218" s="12">
        <v>0</v>
      </c>
      <c r="Y218" s="12">
        <v>0</v>
      </c>
      <c r="AA218" s="12">
        <v>0</v>
      </c>
      <c r="AC218" s="12">
        <f t="shared" si="4"/>
        <v>2730315</v>
      </c>
    </row>
    <row r="219" spans="1:29" s="11" customFormat="1" ht="12">
      <c r="A219" s="11" t="s">
        <v>391</v>
      </c>
      <c r="C219" s="11" t="s">
        <v>161</v>
      </c>
      <c r="E219" s="12">
        <v>172290.45</v>
      </c>
      <c r="F219" s="12"/>
      <c r="G219" s="12">
        <v>26412.12</v>
      </c>
      <c r="H219" s="12"/>
      <c r="I219" s="12">
        <v>39028.21</v>
      </c>
      <c r="J219" s="12"/>
      <c r="K219" s="12">
        <v>28834.4</v>
      </c>
      <c r="L219" s="12"/>
      <c r="M219" s="12">
        <v>12089.3</v>
      </c>
      <c r="N219" s="12"/>
      <c r="O219" s="12">
        <v>2113</v>
      </c>
      <c r="P219" s="12"/>
      <c r="Q219" s="12">
        <v>112.24</v>
      </c>
      <c r="R219" s="12"/>
      <c r="S219" s="12">
        <v>0</v>
      </c>
      <c r="T219" s="12"/>
      <c r="U219" s="12">
        <v>0</v>
      </c>
      <c r="V219" s="12"/>
      <c r="W219" s="12">
        <v>0</v>
      </c>
      <c r="X219" s="12"/>
      <c r="Y219" s="12">
        <v>0</v>
      </c>
      <c r="Z219" s="12"/>
      <c r="AA219" s="12">
        <v>0</v>
      </c>
      <c r="AC219" s="12">
        <f t="shared" si="4"/>
        <v>280879.72</v>
      </c>
    </row>
    <row r="220" spans="1:29" s="11" customFormat="1" ht="12">
      <c r="A220" s="11" t="s">
        <v>392</v>
      </c>
      <c r="C220" s="11" t="s">
        <v>138</v>
      </c>
      <c r="E220" s="12">
        <v>86052.46</v>
      </c>
      <c r="F220" s="12"/>
      <c r="G220" s="12">
        <v>12609.87</v>
      </c>
      <c r="H220" s="12"/>
      <c r="I220" s="12">
        <v>37595.69</v>
      </c>
      <c r="J220" s="12"/>
      <c r="K220" s="12">
        <v>17920.75</v>
      </c>
      <c r="L220" s="12"/>
      <c r="M220" s="12">
        <v>6138.28</v>
      </c>
      <c r="N220" s="12"/>
      <c r="O220" s="12">
        <v>9416.36</v>
      </c>
      <c r="P220" s="12"/>
      <c r="Q220" s="12">
        <v>1206.68</v>
      </c>
      <c r="R220" s="12"/>
      <c r="S220" s="12">
        <v>5431.16</v>
      </c>
      <c r="T220" s="12"/>
      <c r="U220" s="12">
        <v>4144.36</v>
      </c>
      <c r="V220" s="12"/>
      <c r="W220" s="12">
        <v>9575.52</v>
      </c>
      <c r="X220" s="12"/>
      <c r="Y220" s="12">
        <v>0</v>
      </c>
      <c r="Z220" s="12"/>
      <c r="AA220" s="12">
        <v>0</v>
      </c>
      <c r="AC220" s="12">
        <f t="shared" si="4"/>
        <v>190091.13</v>
      </c>
    </row>
    <row r="221" spans="1:29" s="11" customFormat="1" ht="12">
      <c r="A221" s="11" t="s">
        <v>393</v>
      </c>
      <c r="C221" s="11" t="s">
        <v>110</v>
      </c>
      <c r="E221" s="12">
        <v>2770224</v>
      </c>
      <c r="G221" s="12">
        <v>698470</v>
      </c>
      <c r="I221" s="12">
        <v>797677</v>
      </c>
      <c r="K221" s="12">
        <v>938188</v>
      </c>
      <c r="M221" s="12">
        <v>88535</v>
      </c>
      <c r="O221" s="12">
        <v>10488</v>
      </c>
      <c r="Q221" s="12">
        <v>0</v>
      </c>
      <c r="S221" s="12">
        <v>209330</v>
      </c>
      <c r="U221" s="12">
        <v>0</v>
      </c>
      <c r="W221" s="12">
        <v>179727</v>
      </c>
      <c r="Y221" s="12">
        <v>0</v>
      </c>
      <c r="AA221" s="12">
        <v>0</v>
      </c>
      <c r="AC221" s="12">
        <f t="shared" si="4"/>
        <v>5692639</v>
      </c>
    </row>
    <row r="222" spans="1:29" s="11" customFormat="1" ht="12">
      <c r="A222" s="11" t="s">
        <v>394</v>
      </c>
      <c r="C222" s="11" t="s">
        <v>205</v>
      </c>
      <c r="E222" s="12">
        <v>41973</v>
      </c>
      <c r="G222" s="12">
        <v>19197</v>
      </c>
      <c r="I222" s="12">
        <v>90689</v>
      </c>
      <c r="K222" s="12">
        <v>21808</v>
      </c>
      <c r="M222" s="12">
        <v>9032</v>
      </c>
      <c r="O222" s="12">
        <v>33576</v>
      </c>
      <c r="Q222" s="12">
        <v>140</v>
      </c>
      <c r="S222" s="12">
        <v>0</v>
      </c>
      <c r="U222" s="12">
        <v>0</v>
      </c>
      <c r="W222" s="12">
        <v>0</v>
      </c>
      <c r="Y222" s="12">
        <v>0</v>
      </c>
      <c r="AA222" s="12">
        <v>0</v>
      </c>
      <c r="AC222" s="12">
        <f t="shared" si="4"/>
        <v>216415</v>
      </c>
    </row>
    <row r="223" spans="1:29" s="11" customFormat="1" ht="12">
      <c r="A223" s="11" t="s">
        <v>395</v>
      </c>
      <c r="C223" s="11" t="s">
        <v>188</v>
      </c>
      <c r="E223" s="12">
        <v>2004491</v>
      </c>
      <c r="G223" s="12">
        <v>557294</v>
      </c>
      <c r="I223" s="12">
        <v>910336</v>
      </c>
      <c r="K223" s="12">
        <v>562504</v>
      </c>
      <c r="M223" s="12">
        <v>104576</v>
      </c>
      <c r="O223" s="12">
        <v>15255</v>
      </c>
      <c r="Q223" s="12">
        <v>71380</v>
      </c>
      <c r="S223" s="12">
        <v>0</v>
      </c>
      <c r="U223" s="12">
        <v>0</v>
      </c>
      <c r="W223" s="12">
        <v>0</v>
      </c>
      <c r="Y223" s="12">
        <v>100000</v>
      </c>
      <c r="AA223" s="12">
        <v>0</v>
      </c>
      <c r="AC223" s="12">
        <f t="shared" si="4"/>
        <v>4325836</v>
      </c>
    </row>
    <row r="224" spans="1:29" s="11" customFormat="1" ht="12">
      <c r="A224" s="11" t="s">
        <v>504</v>
      </c>
      <c r="C224" s="11" t="s">
        <v>137</v>
      </c>
      <c r="E224" s="12">
        <v>276642.98</v>
      </c>
      <c r="F224" s="12"/>
      <c r="G224" s="12">
        <v>68542.81</v>
      </c>
      <c r="H224" s="12"/>
      <c r="I224" s="12">
        <v>92722.17</v>
      </c>
      <c r="J224" s="12"/>
      <c r="K224" s="12">
        <v>73140.44</v>
      </c>
      <c r="L224" s="12"/>
      <c r="M224" s="12">
        <v>24637.45</v>
      </c>
      <c r="N224" s="12"/>
      <c r="O224" s="12">
        <v>8108</v>
      </c>
      <c r="P224" s="12"/>
      <c r="Q224" s="12">
        <v>9697.74</v>
      </c>
      <c r="R224" s="12"/>
      <c r="S224" s="12">
        <v>0</v>
      </c>
      <c r="T224" s="12"/>
      <c r="U224" s="12">
        <v>0</v>
      </c>
      <c r="V224" s="12"/>
      <c r="W224" s="12">
        <v>0</v>
      </c>
      <c r="X224" s="12"/>
      <c r="Y224" s="12">
        <v>0</v>
      </c>
      <c r="Z224" s="12"/>
      <c r="AA224" s="12">
        <v>0</v>
      </c>
      <c r="AC224" s="12">
        <f t="shared" si="4"/>
        <v>553491.59</v>
      </c>
    </row>
    <row r="225" spans="1:29" s="11" customFormat="1" ht="12">
      <c r="A225" s="11" t="s">
        <v>471</v>
      </c>
      <c r="C225" s="11" t="s">
        <v>104</v>
      </c>
      <c r="E225" s="12">
        <v>251966.41</v>
      </c>
      <c r="F225" s="12"/>
      <c r="G225" s="12">
        <v>52624.28</v>
      </c>
      <c r="H225" s="12"/>
      <c r="I225" s="12">
        <v>70032.78</v>
      </c>
      <c r="J225" s="12"/>
      <c r="K225" s="12">
        <v>48156.26</v>
      </c>
      <c r="L225" s="12"/>
      <c r="M225" s="12">
        <v>11013.81</v>
      </c>
      <c r="N225" s="12"/>
      <c r="O225" s="12">
        <v>3201.47</v>
      </c>
      <c r="P225" s="12"/>
      <c r="Q225" s="12">
        <v>86633</v>
      </c>
      <c r="R225" s="12"/>
      <c r="S225" s="12">
        <v>0</v>
      </c>
      <c r="T225" s="12"/>
      <c r="U225" s="12">
        <v>0</v>
      </c>
      <c r="V225" s="12"/>
      <c r="W225" s="12">
        <v>0</v>
      </c>
      <c r="X225" s="12"/>
      <c r="Y225" s="12">
        <v>0</v>
      </c>
      <c r="Z225" s="12"/>
      <c r="AA225" s="12">
        <v>1725.88</v>
      </c>
      <c r="AC225" s="12">
        <f t="shared" si="4"/>
        <v>525353.8899999999</v>
      </c>
    </row>
    <row r="226" spans="1:29" s="11" customFormat="1" ht="12">
      <c r="A226" s="11" t="s">
        <v>398</v>
      </c>
      <c r="C226" s="11" t="s">
        <v>116</v>
      </c>
      <c r="E226" s="12">
        <v>1259581</v>
      </c>
      <c r="G226" s="12">
        <v>0</v>
      </c>
      <c r="I226" s="12">
        <f>6981856+2851638</f>
        <v>9833494</v>
      </c>
      <c r="K226" s="12">
        <v>456387</v>
      </c>
      <c r="M226" s="12">
        <v>624807</v>
      </c>
      <c r="O226" s="12">
        <v>0</v>
      </c>
      <c r="Q226" s="12">
        <v>4791668</v>
      </c>
      <c r="S226" s="12">
        <v>0</v>
      </c>
      <c r="U226" s="12">
        <v>0</v>
      </c>
      <c r="W226" s="12">
        <v>927</v>
      </c>
      <c r="Y226" s="12">
        <v>0</v>
      </c>
      <c r="AA226" s="12">
        <v>0</v>
      </c>
      <c r="AC226" s="12">
        <f t="shared" si="4"/>
        <v>16966864</v>
      </c>
    </row>
    <row r="227" spans="1:29" ht="12">
      <c r="A227" s="2" t="s">
        <v>399</v>
      </c>
      <c r="C227" s="2" t="s">
        <v>400</v>
      </c>
      <c r="E227" s="3">
        <v>1503098</v>
      </c>
      <c r="G227" s="3">
        <v>619203</v>
      </c>
      <c r="I227" s="3">
        <f>351123+44846</f>
        <v>395969</v>
      </c>
      <c r="K227" s="3">
        <v>323289</v>
      </c>
      <c r="M227" s="3">
        <v>68937</v>
      </c>
      <c r="O227" s="3">
        <f>12948+1000</f>
        <v>13948</v>
      </c>
      <c r="Q227" s="3">
        <f>14292+60498</f>
        <v>74790</v>
      </c>
      <c r="S227" s="3">
        <v>0</v>
      </c>
      <c r="U227" s="3">
        <v>0</v>
      </c>
      <c r="W227" s="3">
        <v>0</v>
      </c>
      <c r="Y227" s="3">
        <v>0</v>
      </c>
      <c r="AA227" s="3">
        <v>0</v>
      </c>
      <c r="AC227" s="3">
        <f t="shared" si="4"/>
        <v>2999234</v>
      </c>
    </row>
    <row r="228" spans="1:29" ht="12">
      <c r="A228" s="2" t="s">
        <v>401</v>
      </c>
      <c r="C228" s="2" t="s">
        <v>113</v>
      </c>
      <c r="E228" s="3">
        <v>223525</v>
      </c>
      <c r="G228" s="3">
        <v>0</v>
      </c>
      <c r="I228" s="3">
        <f>930979+582884</f>
        <v>1513863</v>
      </c>
      <c r="K228" s="3">
        <v>0</v>
      </c>
      <c r="M228" s="3">
        <v>339392</v>
      </c>
      <c r="O228" s="3">
        <v>0</v>
      </c>
      <c r="Q228" s="3">
        <v>66581</v>
      </c>
      <c r="S228" s="3">
        <v>0</v>
      </c>
      <c r="U228" s="3">
        <v>0</v>
      </c>
      <c r="W228" s="3">
        <v>0</v>
      </c>
      <c r="Y228" s="3">
        <v>0</v>
      </c>
      <c r="AA228" s="3">
        <v>0</v>
      </c>
      <c r="AC228" s="3">
        <f t="shared" si="4"/>
        <v>2143361</v>
      </c>
    </row>
    <row r="229" spans="1:29" ht="12">
      <c r="A229" s="2" t="s">
        <v>402</v>
      </c>
      <c r="C229" s="2" t="s">
        <v>135</v>
      </c>
      <c r="E229" s="3">
        <v>183812.4</v>
      </c>
      <c r="F229" s="3"/>
      <c r="G229" s="3">
        <v>67528.78</v>
      </c>
      <c r="H229" s="3"/>
      <c r="I229" s="3">
        <v>74814.3</v>
      </c>
      <c r="J229" s="3"/>
      <c r="K229" s="3">
        <v>36639.72</v>
      </c>
      <c r="L229" s="3"/>
      <c r="M229" s="3">
        <v>7031.93</v>
      </c>
      <c r="N229" s="3"/>
      <c r="O229" s="3">
        <v>5778.02</v>
      </c>
      <c r="P229" s="3"/>
      <c r="Q229" s="3">
        <v>28208.82</v>
      </c>
      <c r="R229" s="3"/>
      <c r="S229" s="3">
        <v>13532.37</v>
      </c>
      <c r="T229" s="3"/>
      <c r="U229" s="3">
        <v>2255.79</v>
      </c>
      <c r="V229" s="3"/>
      <c r="W229" s="3">
        <v>19610.64</v>
      </c>
      <c r="X229" s="3"/>
      <c r="Y229" s="3">
        <v>0</v>
      </c>
      <c r="Z229" s="3"/>
      <c r="AA229" s="3">
        <v>0</v>
      </c>
      <c r="AC229" s="3">
        <f t="shared" si="4"/>
        <v>439212.76999999996</v>
      </c>
    </row>
    <row r="230" spans="1:29" ht="12">
      <c r="A230" s="2" t="s">
        <v>472</v>
      </c>
      <c r="C230" s="2" t="s">
        <v>282</v>
      </c>
      <c r="E230" s="3">
        <v>273967.82</v>
      </c>
      <c r="F230" s="3"/>
      <c r="G230" s="3">
        <v>99433.08</v>
      </c>
      <c r="H230" s="3"/>
      <c r="I230" s="3">
        <v>48099.55</v>
      </c>
      <c r="J230" s="3"/>
      <c r="K230" s="3">
        <v>39172.66</v>
      </c>
      <c r="L230" s="3"/>
      <c r="M230" s="3">
        <v>12259.21</v>
      </c>
      <c r="N230" s="3"/>
      <c r="O230" s="3">
        <v>1168.45</v>
      </c>
      <c r="P230" s="3"/>
      <c r="Q230" s="3">
        <v>23869.86</v>
      </c>
      <c r="R230" s="3"/>
      <c r="S230" s="3">
        <v>0</v>
      </c>
      <c r="T230" s="3"/>
      <c r="U230" s="3">
        <v>0</v>
      </c>
      <c r="V230" s="3"/>
      <c r="W230" s="3">
        <v>0</v>
      </c>
      <c r="X230" s="3"/>
      <c r="Y230" s="3">
        <v>0</v>
      </c>
      <c r="Z230" s="3"/>
      <c r="AA230" s="3">
        <v>0</v>
      </c>
      <c r="AC230" s="3">
        <f t="shared" si="4"/>
        <v>497970.63</v>
      </c>
    </row>
    <row r="231" spans="1:29" ht="12">
      <c r="A231" s="2" t="s">
        <v>404</v>
      </c>
      <c r="C231" s="2" t="s">
        <v>113</v>
      </c>
      <c r="E231" s="3">
        <v>858977</v>
      </c>
      <c r="G231" s="3">
        <v>228740</v>
      </c>
      <c r="I231" s="3">
        <f>264486+9366</f>
        <v>273852</v>
      </c>
      <c r="K231" s="3">
        <v>305812</v>
      </c>
      <c r="M231" s="3">
        <v>38432</v>
      </c>
      <c r="O231" s="3">
        <v>21161</v>
      </c>
      <c r="Q231" s="3">
        <f>1607+576334</f>
        <v>577941</v>
      </c>
      <c r="S231" s="3">
        <v>0</v>
      </c>
      <c r="U231" s="3">
        <v>0</v>
      </c>
      <c r="W231" s="3">
        <v>0</v>
      </c>
      <c r="Y231" s="3">
        <v>0</v>
      </c>
      <c r="AA231" s="3">
        <v>0</v>
      </c>
      <c r="AC231" s="3">
        <f t="shared" si="4"/>
        <v>2304915</v>
      </c>
    </row>
    <row r="232" spans="1:29" ht="12">
      <c r="A232" s="2" t="s">
        <v>405</v>
      </c>
      <c r="C232" s="2" t="s">
        <v>138</v>
      </c>
      <c r="E232" s="3">
        <v>711517</v>
      </c>
      <c r="G232" s="3">
        <v>187367</v>
      </c>
      <c r="I232" s="3">
        <v>138078</v>
      </c>
      <c r="K232" s="3">
        <v>207469</v>
      </c>
      <c r="M232" s="3">
        <v>25080</v>
      </c>
      <c r="O232" s="3">
        <v>21191</v>
      </c>
      <c r="Q232" s="3">
        <v>37749</v>
      </c>
      <c r="S232" s="3">
        <v>0</v>
      </c>
      <c r="U232" s="3">
        <v>0</v>
      </c>
      <c r="W232" s="3">
        <v>0</v>
      </c>
      <c r="Y232" s="3">
        <v>0</v>
      </c>
      <c r="AA232" s="3">
        <v>0</v>
      </c>
      <c r="AC232" s="3">
        <f t="shared" si="4"/>
        <v>1328451</v>
      </c>
    </row>
    <row r="233" spans="1:29" ht="12">
      <c r="A233" s="2" t="s">
        <v>406</v>
      </c>
      <c r="C233" s="2" t="s">
        <v>407</v>
      </c>
      <c r="E233" s="3">
        <v>21668125</v>
      </c>
      <c r="G233" s="3">
        <v>0</v>
      </c>
      <c r="I233" s="3">
        <v>5018592</v>
      </c>
      <c r="K233" s="3">
        <v>4042157</v>
      </c>
      <c r="M233" s="3">
        <v>0</v>
      </c>
      <c r="O233" s="3">
        <v>797023</v>
      </c>
      <c r="Q233" s="3">
        <v>2390338</v>
      </c>
      <c r="S233" s="3">
        <v>9339</v>
      </c>
      <c r="U233" s="3">
        <v>35237</v>
      </c>
      <c r="W233" s="3">
        <v>1400000</v>
      </c>
      <c r="Y233" s="3">
        <v>0</v>
      </c>
      <c r="AA233" s="3">
        <v>0</v>
      </c>
      <c r="AC233" s="3">
        <f t="shared" si="4"/>
        <v>35360811</v>
      </c>
    </row>
    <row r="234" spans="1:29" ht="12">
      <c r="A234" s="2" t="s">
        <v>514</v>
      </c>
      <c r="C234" s="2" t="s">
        <v>146</v>
      </c>
      <c r="E234" s="3">
        <v>477391</v>
      </c>
      <c r="G234" s="3">
        <v>0</v>
      </c>
      <c r="I234" s="3">
        <f>51702+51290</f>
        <v>102992</v>
      </c>
      <c r="K234" s="3">
        <v>4973</v>
      </c>
      <c r="M234" s="3">
        <v>29340</v>
      </c>
      <c r="O234" s="3">
        <v>0</v>
      </c>
      <c r="Q234" s="3">
        <v>102338</v>
      </c>
      <c r="S234" s="3">
        <v>0</v>
      </c>
      <c r="U234" s="3">
        <v>0</v>
      </c>
      <c r="W234" s="3">
        <v>22173</v>
      </c>
      <c r="Y234" s="3">
        <v>0</v>
      </c>
      <c r="AA234" s="3">
        <v>0</v>
      </c>
      <c r="AC234" s="3">
        <f t="shared" si="4"/>
        <v>739207</v>
      </c>
    </row>
    <row r="235" spans="1:29" ht="12">
      <c r="A235" s="2" t="s">
        <v>408</v>
      </c>
      <c r="C235" s="2" t="s">
        <v>117</v>
      </c>
      <c r="E235" s="3">
        <v>955791</v>
      </c>
      <c r="F235" s="3"/>
      <c r="G235" s="3">
        <v>0</v>
      </c>
      <c r="H235" s="3"/>
      <c r="I235" s="3">
        <f>248153+530317</f>
        <v>778470</v>
      </c>
      <c r="J235" s="3"/>
      <c r="K235" s="3">
        <v>33959</v>
      </c>
      <c r="L235" s="3"/>
      <c r="M235" s="3">
        <v>179916</v>
      </c>
      <c r="N235" s="3"/>
      <c r="O235" s="3">
        <v>0</v>
      </c>
      <c r="P235" s="3"/>
      <c r="Q235" s="3">
        <v>193439</v>
      </c>
      <c r="R235" s="3"/>
      <c r="S235" s="3">
        <v>95000</v>
      </c>
      <c r="T235" s="3"/>
      <c r="U235" s="3">
        <v>46575</v>
      </c>
      <c r="V235" s="3"/>
      <c r="W235" s="3">
        <v>0</v>
      </c>
      <c r="X235" s="3"/>
      <c r="Y235" s="3">
        <v>0</v>
      </c>
      <c r="Z235" s="3"/>
      <c r="AA235" s="3">
        <v>0</v>
      </c>
      <c r="AB235" s="3"/>
      <c r="AC235" s="3">
        <f t="shared" si="4"/>
        <v>2283150</v>
      </c>
    </row>
    <row r="236" spans="1:29" ht="12">
      <c r="A236" s="2" t="s">
        <v>409</v>
      </c>
      <c r="C236" s="2" t="s">
        <v>113</v>
      </c>
      <c r="E236" s="3">
        <v>998856</v>
      </c>
      <c r="G236" s="3">
        <v>272465</v>
      </c>
      <c r="I236" s="3">
        <v>281467</v>
      </c>
      <c r="K236" s="3">
        <v>458509</v>
      </c>
      <c r="M236" s="3">
        <v>43841</v>
      </c>
      <c r="O236" s="3">
        <v>5906</v>
      </c>
      <c r="Q236" s="3">
        <v>119216</v>
      </c>
      <c r="S236" s="3">
        <v>93000</v>
      </c>
      <c r="U236" s="3">
        <v>32543</v>
      </c>
      <c r="W236" s="3">
        <v>0</v>
      </c>
      <c r="Y236" s="3">
        <v>0</v>
      </c>
      <c r="AA236" s="3">
        <v>0</v>
      </c>
      <c r="AC236" s="3">
        <f t="shared" si="4"/>
        <v>2305803</v>
      </c>
    </row>
    <row r="237" spans="1:29" ht="12">
      <c r="A237" s="2" t="s">
        <v>410</v>
      </c>
      <c r="C237" s="2" t="s">
        <v>140</v>
      </c>
      <c r="E237" s="3">
        <v>293446</v>
      </c>
      <c r="G237" s="3">
        <v>57760</v>
      </c>
      <c r="I237" s="3">
        <v>96247</v>
      </c>
      <c r="K237" s="3">
        <v>50373</v>
      </c>
      <c r="M237" s="3">
        <v>12076</v>
      </c>
      <c r="O237" s="3">
        <v>11279</v>
      </c>
      <c r="Q237" s="3">
        <v>0</v>
      </c>
      <c r="S237" s="3">
        <v>0</v>
      </c>
      <c r="U237" s="3">
        <v>0</v>
      </c>
      <c r="W237" s="3">
        <v>0</v>
      </c>
      <c r="Y237" s="3">
        <v>0</v>
      </c>
      <c r="AA237" s="3">
        <v>0</v>
      </c>
      <c r="AC237" s="3">
        <f t="shared" si="4"/>
        <v>521181</v>
      </c>
    </row>
    <row r="238" spans="1:29" ht="12">
      <c r="A238" s="2" t="s">
        <v>411</v>
      </c>
      <c r="C238" s="2" t="s">
        <v>188</v>
      </c>
      <c r="E238" s="3">
        <v>2475355</v>
      </c>
      <c r="G238" s="3">
        <v>808463</v>
      </c>
      <c r="I238" s="3">
        <v>654419</v>
      </c>
      <c r="K238" s="3">
        <v>927624</v>
      </c>
      <c r="M238" s="3">
        <v>144065</v>
      </c>
      <c r="O238" s="3">
        <v>11801</v>
      </c>
      <c r="Q238" s="3">
        <v>1085323</v>
      </c>
      <c r="S238" s="3">
        <v>0</v>
      </c>
      <c r="U238" s="3">
        <v>0</v>
      </c>
      <c r="W238" s="3">
        <v>291500</v>
      </c>
      <c r="Y238" s="3">
        <v>0</v>
      </c>
      <c r="AA238" s="3">
        <v>0</v>
      </c>
      <c r="AC238" s="3">
        <f t="shared" si="4"/>
        <v>6398550</v>
      </c>
    </row>
    <row r="239" spans="1:29" ht="12">
      <c r="A239" s="2" t="s">
        <v>505</v>
      </c>
      <c r="C239" s="2" t="s">
        <v>156</v>
      </c>
      <c r="E239" s="3">
        <v>225757</v>
      </c>
      <c r="G239" s="3">
        <v>68813</v>
      </c>
      <c r="I239" s="3">
        <v>49918</v>
      </c>
      <c r="K239" s="3">
        <v>67991</v>
      </c>
      <c r="M239" s="3">
        <v>13216</v>
      </c>
      <c r="O239" s="3">
        <v>9558</v>
      </c>
      <c r="Q239" s="3">
        <v>6373</v>
      </c>
      <c r="S239" s="3">
        <v>0</v>
      </c>
      <c r="U239" s="3">
        <v>0</v>
      </c>
      <c r="W239" s="3">
        <v>0</v>
      </c>
      <c r="Y239" s="3">
        <v>0</v>
      </c>
      <c r="AA239" s="3">
        <v>0</v>
      </c>
      <c r="AC239" s="3">
        <f t="shared" si="4"/>
        <v>441626</v>
      </c>
    </row>
    <row r="240" spans="1:29" ht="12">
      <c r="A240" s="2" t="s">
        <v>413</v>
      </c>
      <c r="C240" s="2" t="s">
        <v>149</v>
      </c>
      <c r="E240" s="3">
        <v>2413206</v>
      </c>
      <c r="G240" s="3">
        <v>866470</v>
      </c>
      <c r="I240" s="3">
        <v>527457</v>
      </c>
      <c r="K240" s="3">
        <v>653311</v>
      </c>
      <c r="M240" s="3">
        <v>127442</v>
      </c>
      <c r="O240" s="3">
        <v>26000</v>
      </c>
      <c r="Q240" s="3">
        <v>371668</v>
      </c>
      <c r="S240" s="3">
        <v>209975</v>
      </c>
      <c r="U240" s="3">
        <v>24225</v>
      </c>
      <c r="W240" s="3">
        <v>0</v>
      </c>
      <c r="Y240" s="3">
        <v>0</v>
      </c>
      <c r="AA240" s="3">
        <v>0</v>
      </c>
      <c r="AC240" s="3">
        <f t="shared" si="4"/>
        <v>5219754</v>
      </c>
    </row>
    <row r="241" spans="1:29" ht="12">
      <c r="A241" s="2" t="s">
        <v>506</v>
      </c>
      <c r="C241" s="2" t="s">
        <v>118</v>
      </c>
      <c r="E241" s="3">
        <v>1406826</v>
      </c>
      <c r="G241" s="3">
        <v>0</v>
      </c>
      <c r="I241" s="3">
        <v>423368</v>
      </c>
      <c r="K241" s="3">
        <v>318354</v>
      </c>
      <c r="M241" s="3">
        <v>0</v>
      </c>
      <c r="O241" s="3">
        <v>0</v>
      </c>
      <c r="Q241" s="3">
        <v>125962</v>
      </c>
      <c r="S241" s="3">
        <v>0</v>
      </c>
      <c r="U241" s="3">
        <v>0</v>
      </c>
      <c r="W241" s="3">
        <v>0</v>
      </c>
      <c r="Y241" s="3">
        <v>0</v>
      </c>
      <c r="AA241" s="3">
        <v>390745</v>
      </c>
      <c r="AC241" s="3">
        <f t="shared" si="4"/>
        <v>2665255</v>
      </c>
    </row>
    <row r="242" spans="1:29" ht="12">
      <c r="A242" s="2" t="s">
        <v>415</v>
      </c>
      <c r="C242" s="2" t="s">
        <v>148</v>
      </c>
      <c r="E242" s="3">
        <v>3175766</v>
      </c>
      <c r="G242" s="3">
        <v>1054980</v>
      </c>
      <c r="I242" s="3">
        <f>671813+1200</f>
        <v>673013</v>
      </c>
      <c r="K242" s="3">
        <v>911447</v>
      </c>
      <c r="M242" s="3">
        <v>182002</v>
      </c>
      <c r="O242" s="3">
        <v>23241</v>
      </c>
      <c r="Q242" s="3">
        <f>157684+28508</f>
        <v>186192</v>
      </c>
      <c r="S242" s="3">
        <v>0</v>
      </c>
      <c r="U242" s="3">
        <v>0</v>
      </c>
      <c r="W242" s="3">
        <v>0</v>
      </c>
      <c r="Y242" s="3">
        <v>0</v>
      </c>
      <c r="AA242" s="3">
        <v>0</v>
      </c>
      <c r="AC242" s="3">
        <f t="shared" si="4"/>
        <v>6206641</v>
      </c>
    </row>
    <row r="243" spans="1:29" ht="12">
      <c r="A243" s="2" t="s">
        <v>131</v>
      </c>
      <c r="C243" s="2" t="s">
        <v>135</v>
      </c>
      <c r="E243" s="3">
        <v>217065.85</v>
      </c>
      <c r="F243" s="3"/>
      <c r="G243" s="3">
        <v>33232.51</v>
      </c>
      <c r="H243" s="3"/>
      <c r="I243" s="3">
        <v>78897.43</v>
      </c>
      <c r="J243" s="3"/>
      <c r="K243" s="3">
        <v>53274.74</v>
      </c>
      <c r="L243" s="3"/>
      <c r="M243" s="3">
        <v>11848.64</v>
      </c>
      <c r="N243" s="3"/>
      <c r="O243" s="3">
        <v>5322.91</v>
      </c>
      <c r="P243" s="3"/>
      <c r="Q243" s="3">
        <v>12325.83</v>
      </c>
      <c r="R243" s="3"/>
      <c r="S243" s="3">
        <v>0</v>
      </c>
      <c r="T243" s="3"/>
      <c r="U243" s="3">
        <v>0</v>
      </c>
      <c r="V243" s="3"/>
      <c r="W243" s="3">
        <v>3816.54</v>
      </c>
      <c r="X243" s="3"/>
      <c r="Y243" s="3">
        <v>0</v>
      </c>
      <c r="Z243" s="3"/>
      <c r="AA243" s="3">
        <v>0</v>
      </c>
      <c r="AC243" s="3">
        <f t="shared" si="4"/>
        <v>415784.45</v>
      </c>
    </row>
    <row r="244" spans="1:29" ht="12">
      <c r="A244" s="2" t="s">
        <v>416</v>
      </c>
      <c r="C244" s="2" t="s">
        <v>354</v>
      </c>
      <c r="E244" s="3">
        <v>2399868</v>
      </c>
      <c r="G244" s="3">
        <v>632854</v>
      </c>
      <c r="I244" s="3">
        <f>1561643-1595</f>
        <v>1560048</v>
      </c>
      <c r="K244" s="3">
        <v>847037</v>
      </c>
      <c r="M244" s="3">
        <v>158237</v>
      </c>
      <c r="O244" s="3">
        <v>18863</v>
      </c>
      <c r="Q244" s="3">
        <v>3466987</v>
      </c>
      <c r="S244" s="3">
        <v>6100000</v>
      </c>
      <c r="U244" s="3">
        <v>235511</v>
      </c>
      <c r="W244" s="3">
        <v>1628287</v>
      </c>
      <c r="Y244" s="3">
        <v>0</v>
      </c>
      <c r="AA244" s="3">
        <v>0</v>
      </c>
      <c r="AC244" s="3">
        <f t="shared" si="4"/>
        <v>17047692</v>
      </c>
    </row>
    <row r="245" spans="1:29" ht="12">
      <c r="A245" s="2" t="s">
        <v>417</v>
      </c>
      <c r="C245" s="2" t="s">
        <v>158</v>
      </c>
      <c r="E245" s="3">
        <v>207788</v>
      </c>
      <c r="G245" s="3">
        <v>0</v>
      </c>
      <c r="I245" s="3">
        <v>42053</v>
      </c>
      <c r="K245" s="3">
        <v>52413</v>
      </c>
      <c r="M245" s="3">
        <v>6479</v>
      </c>
      <c r="O245" s="3">
        <v>4711</v>
      </c>
      <c r="Q245" s="3">
        <v>142912</v>
      </c>
      <c r="S245" s="3">
        <v>0</v>
      </c>
      <c r="U245" s="3">
        <v>0</v>
      </c>
      <c r="W245" s="3">
        <v>0</v>
      </c>
      <c r="Y245" s="3">
        <v>0</v>
      </c>
      <c r="AA245" s="3">
        <v>0</v>
      </c>
      <c r="AC245" s="3">
        <f t="shared" si="4"/>
        <v>456356</v>
      </c>
    </row>
    <row r="246" spans="1:29" ht="12">
      <c r="A246" s="2" t="s">
        <v>418</v>
      </c>
      <c r="C246" s="2" t="s">
        <v>158</v>
      </c>
      <c r="E246" s="3">
        <v>887666.61</v>
      </c>
      <c r="F246" s="3"/>
      <c r="G246" s="3">
        <v>259936.92</v>
      </c>
      <c r="H246" s="3"/>
      <c r="I246" s="3">
        <v>273160.86</v>
      </c>
      <c r="J246" s="3"/>
      <c r="K246" s="3">
        <v>267576.27</v>
      </c>
      <c r="L246" s="3"/>
      <c r="M246" s="3">
        <v>41850.76</v>
      </c>
      <c r="N246" s="3"/>
      <c r="O246" s="3">
        <v>4020.12</v>
      </c>
      <c r="P246" s="3"/>
      <c r="Q246" s="3">
        <v>49384.59</v>
      </c>
      <c r="R246" s="3"/>
      <c r="S246" s="3">
        <v>0</v>
      </c>
      <c r="T246" s="3"/>
      <c r="U246" s="3">
        <v>0</v>
      </c>
      <c r="V246" s="3"/>
      <c r="W246" s="3">
        <v>23650.76</v>
      </c>
      <c r="X246" s="3"/>
      <c r="Y246" s="3">
        <v>0</v>
      </c>
      <c r="Z246" s="3"/>
      <c r="AA246" s="3">
        <v>0</v>
      </c>
      <c r="AC246" s="3">
        <f t="shared" si="4"/>
        <v>1807246.8900000004</v>
      </c>
    </row>
    <row r="247" spans="1:29" ht="12">
      <c r="A247" s="2" t="s">
        <v>419</v>
      </c>
      <c r="C247" s="2" t="s">
        <v>144</v>
      </c>
      <c r="E247" s="3">
        <v>164448.15</v>
      </c>
      <c r="F247" s="3"/>
      <c r="G247" s="3">
        <v>48811.12</v>
      </c>
      <c r="H247" s="3"/>
      <c r="I247" s="3">
        <v>42142.01</v>
      </c>
      <c r="J247" s="3"/>
      <c r="K247" s="3">
        <v>86219.91</v>
      </c>
      <c r="L247" s="3"/>
      <c r="M247" s="3">
        <v>4284.55</v>
      </c>
      <c r="N247" s="3"/>
      <c r="O247" s="3">
        <v>7092</v>
      </c>
      <c r="P247" s="3"/>
      <c r="Q247" s="3">
        <v>26312.23</v>
      </c>
      <c r="R247" s="3"/>
      <c r="S247" s="3">
        <v>0</v>
      </c>
      <c r="T247" s="3"/>
      <c r="U247" s="3">
        <v>0</v>
      </c>
      <c r="V247" s="3"/>
      <c r="W247" s="3">
        <v>0</v>
      </c>
      <c r="X247" s="3"/>
      <c r="Y247" s="3">
        <v>0</v>
      </c>
      <c r="Z247" s="3"/>
      <c r="AA247" s="3">
        <v>0</v>
      </c>
      <c r="AC247" s="3">
        <f t="shared" si="4"/>
        <v>379309.97</v>
      </c>
    </row>
    <row r="248" spans="1:29" ht="12">
      <c r="A248" s="2" t="s">
        <v>420</v>
      </c>
      <c r="C248" s="2" t="s">
        <v>158</v>
      </c>
      <c r="E248" s="3">
        <v>227887.6</v>
      </c>
      <c r="F248" s="3"/>
      <c r="G248" s="3">
        <v>74399.31</v>
      </c>
      <c r="H248" s="3"/>
      <c r="I248" s="3">
        <v>53488.1</v>
      </c>
      <c r="J248" s="3"/>
      <c r="K248" s="3">
        <v>84691.21</v>
      </c>
      <c r="L248" s="3"/>
      <c r="M248" s="3">
        <v>21219.11</v>
      </c>
      <c r="N248" s="3"/>
      <c r="O248" s="3">
        <v>2935.92</v>
      </c>
      <c r="P248" s="3"/>
      <c r="Q248" s="3">
        <v>40387.24</v>
      </c>
      <c r="R248" s="3"/>
      <c r="S248" s="3">
        <v>0</v>
      </c>
      <c r="T248" s="3"/>
      <c r="U248" s="3">
        <v>0</v>
      </c>
      <c r="V248" s="3"/>
      <c r="W248" s="3">
        <v>0</v>
      </c>
      <c r="X248" s="3"/>
      <c r="Y248" s="3">
        <v>0</v>
      </c>
      <c r="Z248" s="3"/>
      <c r="AA248" s="3">
        <v>2862.01</v>
      </c>
      <c r="AC248" s="3">
        <f t="shared" si="4"/>
        <v>507870.5</v>
      </c>
    </row>
    <row r="249" spans="1:29" ht="12">
      <c r="A249" s="2" t="s">
        <v>132</v>
      </c>
      <c r="C249" s="2" t="s">
        <v>106</v>
      </c>
      <c r="E249" s="3">
        <v>589159.3</v>
      </c>
      <c r="F249" s="3"/>
      <c r="G249" s="3">
        <v>214272.36</v>
      </c>
      <c r="H249" s="3"/>
      <c r="I249" s="3">
        <v>130397.8</v>
      </c>
      <c r="J249" s="3"/>
      <c r="K249" s="3">
        <v>224151.77</v>
      </c>
      <c r="L249" s="3"/>
      <c r="M249" s="3">
        <v>23527.47</v>
      </c>
      <c r="N249" s="3"/>
      <c r="O249" s="3">
        <v>7727.59</v>
      </c>
      <c r="P249" s="3"/>
      <c r="Q249" s="3">
        <v>51919.64</v>
      </c>
      <c r="R249" s="3"/>
      <c r="S249" s="3">
        <v>0</v>
      </c>
      <c r="T249" s="3"/>
      <c r="U249" s="3">
        <v>0</v>
      </c>
      <c r="V249" s="3"/>
      <c r="W249" s="3">
        <v>0</v>
      </c>
      <c r="X249" s="3"/>
      <c r="Y249" s="3">
        <v>0</v>
      </c>
      <c r="Z249" s="3"/>
      <c r="AA249" s="3">
        <v>0</v>
      </c>
      <c r="AC249" s="3">
        <f t="shared" si="4"/>
        <v>1241155.93</v>
      </c>
    </row>
    <row r="250" spans="1:29" ht="12">
      <c r="A250" s="2" t="s">
        <v>421</v>
      </c>
      <c r="C250" s="2" t="s">
        <v>185</v>
      </c>
      <c r="E250" s="3">
        <v>530911</v>
      </c>
      <c r="G250" s="3">
        <v>111516</v>
      </c>
      <c r="I250" s="3">
        <v>129663</v>
      </c>
      <c r="K250" s="3">
        <v>86873</v>
      </c>
      <c r="M250" s="3">
        <v>19880</v>
      </c>
      <c r="O250" s="3">
        <v>6296</v>
      </c>
      <c r="Q250" s="3">
        <v>5728</v>
      </c>
      <c r="S250" s="3">
        <v>0</v>
      </c>
      <c r="U250" s="3">
        <v>0</v>
      </c>
      <c r="W250" s="3">
        <v>0</v>
      </c>
      <c r="Y250" s="3">
        <v>0</v>
      </c>
      <c r="AA250" s="3">
        <v>0</v>
      </c>
      <c r="AC250" s="3">
        <f t="shared" si="4"/>
        <v>890867</v>
      </c>
    </row>
    <row r="251" spans="1:29" ht="12">
      <c r="A251" s="2" t="s">
        <v>422</v>
      </c>
      <c r="C251" s="2" t="s">
        <v>327</v>
      </c>
      <c r="E251" s="3">
        <v>871480</v>
      </c>
      <c r="G251" s="3">
        <v>252241</v>
      </c>
      <c r="I251" s="3">
        <v>239151</v>
      </c>
      <c r="K251" s="3">
        <v>267046</v>
      </c>
      <c r="M251" s="3">
        <v>54014</v>
      </c>
      <c r="O251" s="3">
        <v>25550</v>
      </c>
      <c r="Q251" s="3">
        <v>131412</v>
      </c>
      <c r="S251" s="3">
        <v>142000</v>
      </c>
      <c r="U251" s="3">
        <v>11470</v>
      </c>
      <c r="W251" s="3">
        <v>175041</v>
      </c>
      <c r="Y251" s="3">
        <v>0</v>
      </c>
      <c r="AA251" s="3">
        <v>0</v>
      </c>
      <c r="AC251" s="3">
        <f t="shared" si="4"/>
        <v>2169405</v>
      </c>
    </row>
    <row r="252" spans="1:29" ht="12">
      <c r="A252" s="2" t="s">
        <v>423</v>
      </c>
      <c r="C252" s="2" t="s">
        <v>106</v>
      </c>
      <c r="E252" s="3">
        <v>3026142</v>
      </c>
      <c r="G252" s="3">
        <v>0</v>
      </c>
      <c r="I252" s="3">
        <f>239938+641083</f>
        <v>881021</v>
      </c>
      <c r="K252" s="3">
        <v>134776</v>
      </c>
      <c r="M252" s="3">
        <v>480709</v>
      </c>
      <c r="O252" s="3">
        <v>0</v>
      </c>
      <c r="Q252" s="3">
        <v>0</v>
      </c>
      <c r="S252" s="3">
        <v>0</v>
      </c>
      <c r="U252" s="3">
        <v>0</v>
      </c>
      <c r="W252" s="3">
        <v>50000</v>
      </c>
      <c r="Y252" s="3">
        <v>0</v>
      </c>
      <c r="AA252" s="3">
        <v>0</v>
      </c>
      <c r="AC252" s="3">
        <f t="shared" si="4"/>
        <v>4572648</v>
      </c>
    </row>
    <row r="253" spans="1:29" ht="12">
      <c r="A253" s="2" t="s">
        <v>424</v>
      </c>
      <c r="C253" s="2" t="s">
        <v>162</v>
      </c>
      <c r="E253" s="3">
        <v>398828.93</v>
      </c>
      <c r="F253" s="3"/>
      <c r="G253" s="3">
        <v>107433.26</v>
      </c>
      <c r="H253" s="3"/>
      <c r="I253" s="3">
        <v>182476.13</v>
      </c>
      <c r="J253" s="3"/>
      <c r="K253" s="3">
        <v>93407.78</v>
      </c>
      <c r="L253" s="3"/>
      <c r="M253" s="3">
        <v>28661.39</v>
      </c>
      <c r="N253" s="3"/>
      <c r="O253" s="3">
        <v>7696.26</v>
      </c>
      <c r="P253" s="3"/>
      <c r="Q253" s="3">
        <v>10350.97</v>
      </c>
      <c r="R253" s="3"/>
      <c r="S253" s="3">
        <v>0</v>
      </c>
      <c r="T253" s="3"/>
      <c r="U253" s="3">
        <v>0</v>
      </c>
      <c r="V253" s="3"/>
      <c r="W253" s="3">
        <v>0</v>
      </c>
      <c r="X253" s="3"/>
      <c r="Y253" s="3">
        <v>0</v>
      </c>
      <c r="Z253" s="3"/>
      <c r="AA253" s="3">
        <v>0</v>
      </c>
      <c r="AC253" s="3">
        <f t="shared" si="4"/>
        <v>828854.7200000001</v>
      </c>
    </row>
    <row r="254" spans="1:29" ht="12">
      <c r="A254" s="2" t="s">
        <v>425</v>
      </c>
      <c r="C254" s="2" t="s">
        <v>158</v>
      </c>
      <c r="E254" s="3">
        <v>886882</v>
      </c>
      <c r="G254" s="3">
        <v>231243</v>
      </c>
      <c r="I254" s="3">
        <v>299069</v>
      </c>
      <c r="K254" s="3">
        <v>307698</v>
      </c>
      <c r="M254" s="3">
        <v>49981</v>
      </c>
      <c r="O254" s="3">
        <v>18820</v>
      </c>
      <c r="Q254" s="3">
        <v>288772</v>
      </c>
      <c r="S254" s="3">
        <v>33869</v>
      </c>
      <c r="U254" s="3">
        <v>26826</v>
      </c>
      <c r="W254" s="3">
        <v>6100</v>
      </c>
      <c r="Y254" s="3">
        <v>0</v>
      </c>
      <c r="AA254" s="3">
        <v>0</v>
      </c>
      <c r="AC254" s="3">
        <f t="shared" si="4"/>
        <v>2149260</v>
      </c>
    </row>
    <row r="255" spans="1:29" ht="12">
      <c r="A255" s="2" t="s">
        <v>426</v>
      </c>
      <c r="C255" s="2" t="s">
        <v>174</v>
      </c>
      <c r="E255" s="3">
        <v>156141.29</v>
      </c>
      <c r="F255" s="3"/>
      <c r="G255" s="3">
        <v>36227.8</v>
      </c>
      <c r="H255" s="3"/>
      <c r="I255" s="3">
        <v>58300.25</v>
      </c>
      <c r="J255" s="3"/>
      <c r="K255" s="3">
        <v>58204.82</v>
      </c>
      <c r="L255" s="3"/>
      <c r="M255" s="3">
        <v>8690.07</v>
      </c>
      <c r="N255" s="3"/>
      <c r="O255" s="3">
        <v>1204.75</v>
      </c>
      <c r="P255" s="3"/>
      <c r="Q255" s="3">
        <v>8049.42</v>
      </c>
      <c r="R255" s="3"/>
      <c r="S255" s="3">
        <v>0</v>
      </c>
      <c r="T255" s="3"/>
      <c r="U255" s="3">
        <v>0</v>
      </c>
      <c r="V255" s="3"/>
      <c r="W255" s="3">
        <v>0</v>
      </c>
      <c r="X255" s="3"/>
      <c r="Y255" s="3">
        <v>0</v>
      </c>
      <c r="Z255" s="3"/>
      <c r="AA255" s="3">
        <v>0</v>
      </c>
      <c r="AC255" s="3">
        <f t="shared" si="4"/>
        <v>326818.4</v>
      </c>
    </row>
    <row r="256" spans="1:29" ht="12">
      <c r="A256" s="2" t="s">
        <v>475</v>
      </c>
      <c r="C256" s="2" t="s">
        <v>163</v>
      </c>
      <c r="E256" s="3">
        <v>95890.4</v>
      </c>
      <c r="F256" s="3"/>
      <c r="G256" s="3">
        <v>14370.84</v>
      </c>
      <c r="H256" s="3"/>
      <c r="I256" s="3">
        <v>45322.54</v>
      </c>
      <c r="J256" s="3"/>
      <c r="K256" s="3">
        <v>28243.03</v>
      </c>
      <c r="L256" s="3"/>
      <c r="M256" s="3">
        <v>2596.39</v>
      </c>
      <c r="N256" s="3"/>
      <c r="O256" s="3">
        <v>432.01</v>
      </c>
      <c r="P256" s="3"/>
      <c r="Q256" s="3">
        <v>70389.03</v>
      </c>
      <c r="R256" s="3"/>
      <c r="S256" s="3">
        <v>0</v>
      </c>
      <c r="T256" s="3"/>
      <c r="U256" s="3">
        <v>0</v>
      </c>
      <c r="V256" s="3"/>
      <c r="W256" s="3">
        <v>0</v>
      </c>
      <c r="X256" s="3"/>
      <c r="Y256" s="3">
        <v>0</v>
      </c>
      <c r="Z256" s="3"/>
      <c r="AA256" s="3">
        <v>0</v>
      </c>
      <c r="AC256" s="3">
        <f t="shared" si="4"/>
        <v>257244.24000000002</v>
      </c>
    </row>
    <row r="257" spans="1:29" ht="12">
      <c r="A257" s="2" t="s">
        <v>428</v>
      </c>
      <c r="C257" s="2" t="s">
        <v>188</v>
      </c>
      <c r="E257" s="3">
        <v>2917050</v>
      </c>
      <c r="G257" s="3">
        <v>1769799</v>
      </c>
      <c r="I257" s="3">
        <v>1249607</v>
      </c>
      <c r="K257" s="3">
        <v>280498</v>
      </c>
      <c r="M257" s="3">
        <v>556499</v>
      </c>
      <c r="O257" s="3">
        <v>0</v>
      </c>
      <c r="Q257" s="3">
        <v>297294</v>
      </c>
      <c r="S257" s="3">
        <v>990000</v>
      </c>
      <c r="U257" s="3">
        <v>60445</v>
      </c>
      <c r="W257" s="3">
        <v>1156910</v>
      </c>
      <c r="Y257" s="3">
        <v>0</v>
      </c>
      <c r="AA257" s="3">
        <v>0</v>
      </c>
      <c r="AC257" s="3">
        <f t="shared" si="4"/>
        <v>9278102</v>
      </c>
    </row>
    <row r="258" spans="1:29" ht="12">
      <c r="A258" s="2" t="s">
        <v>429</v>
      </c>
      <c r="C258" s="2" t="s">
        <v>148</v>
      </c>
      <c r="E258" s="3">
        <v>837292.59</v>
      </c>
      <c r="F258" s="3"/>
      <c r="G258" s="3">
        <v>227259.98</v>
      </c>
      <c r="H258" s="3"/>
      <c r="I258" s="3">
        <v>193437.42</v>
      </c>
      <c r="J258" s="3"/>
      <c r="K258" s="3">
        <v>262555.48</v>
      </c>
      <c r="L258" s="3"/>
      <c r="M258" s="3">
        <v>31387.28</v>
      </c>
      <c r="N258" s="3"/>
      <c r="O258" s="3">
        <v>5688.43</v>
      </c>
      <c r="P258" s="3"/>
      <c r="Q258" s="3">
        <v>50887.92</v>
      </c>
      <c r="R258" s="3"/>
      <c r="S258" s="3">
        <v>0</v>
      </c>
      <c r="T258" s="3"/>
      <c r="U258" s="3">
        <v>0</v>
      </c>
      <c r="V258" s="3"/>
      <c r="W258" s="3">
        <v>0</v>
      </c>
      <c r="X258" s="3"/>
      <c r="Y258" s="3">
        <v>0</v>
      </c>
      <c r="Z258" s="3"/>
      <c r="AA258" s="3">
        <v>0</v>
      </c>
      <c r="AC258" s="3">
        <f t="shared" si="4"/>
        <v>1608509.0999999999</v>
      </c>
    </row>
  </sheetData>
  <printOptions/>
  <pageMargins left="0.75" right="0.75" top="0.5" bottom="0.5" header="0" footer="0.3"/>
  <pageSetup firstPageNumber="30" useFirstPageNumber="1" horizontalDpi="300" verticalDpi="300" orientation="portrait" pageOrder="overThenDown" scale="80" r:id="rId1"/>
  <headerFooter alignWithMargins="0">
    <oddFooter>&amp;C&amp;"Times New Roman,Regular"&amp;13&amp;P</oddFooter>
  </headerFooter>
  <rowBreaks count="3" manualBreakCount="3">
    <brk id="71" max="255" man="1"/>
    <brk id="134" max="255" man="1"/>
    <brk id="199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 of State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O. Myser</dc:creator>
  <cp:keywords/>
  <dc:description/>
  <cp:lastModifiedBy>Jeffrey G. Wilcheck</cp:lastModifiedBy>
  <cp:lastPrinted>2008-07-22T11:44:00Z</cp:lastPrinted>
  <dcterms:created xsi:type="dcterms:W3CDTF">2007-01-22T17:20:47Z</dcterms:created>
  <dcterms:modified xsi:type="dcterms:W3CDTF">2008-07-22T11:44:02Z</dcterms:modified>
  <cp:category/>
  <cp:version/>
  <cp:contentType/>
  <cp:contentStatus/>
</cp:coreProperties>
</file>